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Dossiers_Associations\AA\IGPB Trésorerie\2022\"/>
    </mc:Choice>
  </mc:AlternateContent>
  <xr:revisionPtr revIDLastSave="0" documentId="13_ncr:1_{1F2C1064-4F94-4957-918B-628E0DDCA09E}" xr6:coauthVersionLast="47" xr6:coauthVersionMax="47" xr10:uidLastSave="{00000000-0000-0000-0000-000000000000}"/>
  <bookViews>
    <workbookView xWindow="-110" yWindow="-110" windowWidth="25820" windowHeight="15500" tabRatio="823" firstSheet="29" activeTab="35" xr2:uid="{00000000-000D-0000-FFFF-FFFF00000000}"/>
  </bookViews>
  <sheets>
    <sheet name="Litterature 01" sheetId="1" r:id="rId1"/>
    <sheet name="Contribution 01" sheetId="2" r:id="rId2"/>
    <sheet name=" 01 2022" sheetId="49" r:id="rId3"/>
    <sheet name="Littérature 02" sheetId="18" r:id="rId4"/>
    <sheet name="Contribution 02" sheetId="17" r:id="rId5"/>
    <sheet name=" 02 2022" sheetId="12" r:id="rId6"/>
    <sheet name="Littérature 03" sheetId="19" r:id="rId7"/>
    <sheet name="Contribution 03" sheetId="20" r:id="rId8"/>
    <sheet name=" 03 2022" sheetId="11" r:id="rId9"/>
    <sheet name="Littérature 04" sheetId="21" r:id="rId10"/>
    <sheet name="Contribution 04" sheetId="22" r:id="rId11"/>
    <sheet name=" 04 2022" sheetId="13" r:id="rId12"/>
    <sheet name="Littérature 05" sheetId="24" r:id="rId13"/>
    <sheet name="Contribution 05" sheetId="23" r:id="rId14"/>
    <sheet name=" 05 2022" sheetId="10" r:id="rId15"/>
    <sheet name="Littérature 06" sheetId="27" r:id="rId16"/>
    <sheet name="Contribution 06" sheetId="25" r:id="rId17"/>
    <sheet name="06 2022" sheetId="9" r:id="rId18"/>
    <sheet name="Littérature 07" sheetId="28" r:id="rId19"/>
    <sheet name="Contribution 07" sheetId="29" r:id="rId20"/>
    <sheet name="07 2022" sheetId="8" r:id="rId21"/>
    <sheet name="Littérature 08" sheetId="30" r:id="rId22"/>
    <sheet name="Contribution 08" sheetId="31" r:id="rId23"/>
    <sheet name="08 2022" sheetId="7" r:id="rId24"/>
    <sheet name="Littérature 09" sheetId="32" r:id="rId25"/>
    <sheet name="Contribution 09" sheetId="33" r:id="rId26"/>
    <sheet name="09 2022" sheetId="6" r:id="rId27"/>
    <sheet name="Littérature 10" sheetId="35" r:id="rId28"/>
    <sheet name="Contribution 10" sheetId="34" r:id="rId29"/>
    <sheet name="10 2022" sheetId="5" r:id="rId30"/>
    <sheet name="Littérature 11" sheetId="36" r:id="rId31"/>
    <sheet name="Contribution 11" sheetId="37" r:id="rId32"/>
    <sheet name="11 2022" sheetId="4" r:id="rId33"/>
    <sheet name="Littérature 12" sheetId="39" r:id="rId34"/>
    <sheet name="Contribution 12" sheetId="38" r:id="rId35"/>
    <sheet name="12 2022" sheetId="3" r:id="rId36"/>
    <sheet name="Récapitulatif " sheetId="16" r:id="rId37"/>
    <sheet name="BUDGET 2022" sheetId="42" r:id="rId38"/>
    <sheet name="STAT" sheetId="40" r:id="rId39"/>
    <sheet name="STAT1" sheetId="50" r:id="rId40"/>
  </sheets>
  <definedNames>
    <definedName name="_xlnm.Print_Area" localSheetId="37">'BUDGET 2022'!$A$1:$I$50</definedName>
    <definedName name="_xlnm.Print_Area" localSheetId="38">STAT!$A$1:$N$56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39" l="1"/>
  <c r="F28" i="39"/>
  <c r="F27" i="39"/>
  <c r="F26" i="39"/>
  <c r="F25" i="39"/>
  <c r="F24" i="39"/>
  <c r="F23" i="39"/>
  <c r="F84" i="3"/>
  <c r="G82" i="3"/>
  <c r="E22" i="38"/>
  <c r="D22" i="38"/>
  <c r="C22" i="38"/>
  <c r="F21" i="38"/>
  <c r="F20" i="38"/>
  <c r="F82" i="3" l="1"/>
  <c r="F19" i="38" l="1"/>
  <c r="F18" i="38"/>
  <c r="F17" i="38"/>
  <c r="F16" i="38"/>
  <c r="F15" i="38"/>
  <c r="F14" i="38"/>
  <c r="F30" i="39"/>
  <c r="F13" i="38" l="1"/>
  <c r="F12" i="38"/>
  <c r="F21" i="39"/>
  <c r="F20" i="39"/>
  <c r="F19" i="39"/>
  <c r="F18" i="39"/>
  <c r="F17" i="39"/>
  <c r="F16" i="39"/>
  <c r="F77" i="4"/>
  <c r="G75" i="4"/>
  <c r="F31" i="36"/>
  <c r="F30" i="36"/>
  <c r="F29" i="36"/>
  <c r="F28" i="36"/>
  <c r="F27" i="36"/>
  <c r="F16" i="37"/>
  <c r="F15" i="37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F25" i="36"/>
  <c r="F24" i="36"/>
  <c r="F23" i="36"/>
  <c r="F22" i="36"/>
  <c r="F21" i="36"/>
  <c r="F20" i="36"/>
  <c r="F19" i="36"/>
  <c r="F18" i="36"/>
  <c r="F17" i="36"/>
  <c r="F16" i="36"/>
  <c r="F14" i="37"/>
  <c r="F13" i="37"/>
  <c r="F12" i="37"/>
  <c r="G75" i="5" l="1"/>
  <c r="F18" i="34"/>
  <c r="F14" i="34"/>
  <c r="D19" i="34"/>
  <c r="F17" i="34"/>
  <c r="F32" i="35" l="1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E19" i="34"/>
  <c r="C19" i="34"/>
  <c r="F16" i="34"/>
  <c r="F15" i="34"/>
  <c r="F13" i="34"/>
  <c r="F12" i="34"/>
  <c r="G88" i="6"/>
  <c r="F15" i="33" l="1"/>
  <c r="F14" i="33"/>
  <c r="F13" i="33"/>
  <c r="F12" i="33"/>
  <c r="C16" i="33"/>
  <c r="D16" i="33"/>
  <c r="E16" i="33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 l="1"/>
  <c r="F24" i="32"/>
  <c r="F23" i="32"/>
  <c r="F22" i="32"/>
  <c r="F21" i="32"/>
  <c r="F20" i="32"/>
  <c r="F19" i="32"/>
  <c r="F18" i="32"/>
  <c r="F17" i="32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G60" i="7" l="1"/>
  <c r="F62" i="7"/>
  <c r="D51" i="7" l="1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W51" i="7"/>
  <c r="X51" i="7"/>
  <c r="Y51" i="7"/>
  <c r="Z51" i="7"/>
  <c r="AA51" i="7"/>
  <c r="F61" i="7" l="1"/>
  <c r="F15" i="30"/>
  <c r="F21" i="30"/>
  <c r="F20" i="30"/>
  <c r="F19" i="30"/>
  <c r="F18" i="30"/>
  <c r="F14" i="31" l="1"/>
  <c r="F13" i="31"/>
  <c r="F12" i="31"/>
  <c r="V8" i="7" l="1"/>
  <c r="V51" i="7" s="1"/>
  <c r="G88" i="8"/>
  <c r="F90" i="8" l="1"/>
  <c r="F20" i="29"/>
  <c r="F39" i="28"/>
  <c r="F38" i="28"/>
  <c r="F37" i="28"/>
  <c r="F36" i="28"/>
  <c r="F35" i="28"/>
  <c r="F34" i="28"/>
  <c r="F33" i="28"/>
  <c r="F32" i="28"/>
  <c r="F31" i="28"/>
  <c r="F30" i="28"/>
  <c r="F21" i="29"/>
  <c r="F19" i="29"/>
  <c r="F18" i="29"/>
  <c r="F29" i="28"/>
  <c r="F28" i="28"/>
  <c r="F27" i="28"/>
  <c r="F26" i="28"/>
  <c r="F25" i="28"/>
  <c r="F24" i="28"/>
  <c r="F17" i="29"/>
  <c r="F16" i="29"/>
  <c r="F15" i="29"/>
  <c r="F23" i="28"/>
  <c r="F22" i="28"/>
  <c r="F21" i="28"/>
  <c r="F20" i="28" l="1"/>
  <c r="F19" i="28"/>
  <c r="F18" i="28"/>
  <c r="F17" i="28"/>
  <c r="F14" i="29" l="1"/>
  <c r="F13" i="29"/>
  <c r="F12" i="29"/>
  <c r="U28" i="8" l="1"/>
  <c r="V12" i="8"/>
  <c r="G63" i="9" l="1"/>
  <c r="F18" i="27" l="1"/>
  <c r="F17" i="27"/>
  <c r="F16" i="27"/>
  <c r="F15" i="27"/>
  <c r="F14" i="25"/>
  <c r="F13" i="25"/>
  <c r="F12" i="25"/>
  <c r="F11" i="25"/>
  <c r="G78" i="10"/>
  <c r="F80" i="10"/>
  <c r="F21" i="23" l="1"/>
  <c r="F20" i="23"/>
  <c r="F30" i="24"/>
  <c r="F29" i="24"/>
  <c r="F28" i="24"/>
  <c r="F27" i="24"/>
  <c r="F26" i="24"/>
  <c r="E30" i="50" l="1"/>
  <c r="E29" i="50"/>
  <c r="E28" i="50"/>
  <c r="E27" i="50"/>
  <c r="E26" i="50"/>
  <c r="E25" i="50"/>
  <c r="E24" i="50"/>
  <c r="E23" i="50"/>
  <c r="E22" i="50"/>
  <c r="E21" i="50"/>
  <c r="E20" i="50"/>
  <c r="E19" i="50"/>
  <c r="L4" i="50"/>
  <c r="C4" i="50"/>
  <c r="C5" i="50"/>
  <c r="C6" i="50"/>
  <c r="C7" i="50" s="1"/>
  <c r="C8" i="50" s="1"/>
  <c r="C9" i="50" s="1"/>
  <c r="C10" i="50" s="1"/>
  <c r="C11" i="50" s="1"/>
  <c r="C12" i="50" s="1"/>
  <c r="C13" i="50" s="1"/>
  <c r="C14" i="50" s="1"/>
  <c r="C15" i="50" s="1"/>
  <c r="D35" i="50"/>
  <c r="G80" i="13" l="1"/>
  <c r="F23" i="24" l="1"/>
  <c r="F22" i="24"/>
  <c r="F21" i="24"/>
  <c r="F20" i="24"/>
  <c r="F19" i="24"/>
  <c r="F18" i="24"/>
  <c r="F17" i="24"/>
  <c r="F16" i="24"/>
  <c r="F15" i="24"/>
  <c r="F18" i="23"/>
  <c r="F17" i="23"/>
  <c r="F16" i="23"/>
  <c r="F15" i="23"/>
  <c r="F14" i="23"/>
  <c r="F13" i="23"/>
  <c r="F12" i="23"/>
  <c r="F78" i="10"/>
  <c r="F80" i="13"/>
  <c r="F82" i="13"/>
  <c r="C17" i="22"/>
  <c r="F16" i="22" l="1"/>
  <c r="F15" i="22"/>
  <c r="F14" i="22"/>
  <c r="F13" i="22"/>
  <c r="F12" i="22"/>
  <c r="F29" i="21"/>
  <c r="F28" i="21"/>
  <c r="F27" i="21"/>
  <c r="F26" i="21"/>
  <c r="F25" i="21"/>
  <c r="F24" i="21"/>
  <c r="F23" i="21"/>
  <c r="F22" i="21"/>
  <c r="F21" i="21"/>
  <c r="F35" i="21"/>
  <c r="F34" i="21"/>
  <c r="F33" i="21"/>
  <c r="F32" i="21"/>
  <c r="F31" i="21"/>
  <c r="F30" i="21"/>
  <c r="F20" i="21"/>
  <c r="F19" i="21"/>
  <c r="F18" i="21"/>
  <c r="F17" i="21"/>
  <c r="F16" i="21"/>
  <c r="F15" i="21"/>
  <c r="F14" i="21"/>
  <c r="F13" i="21"/>
  <c r="F12" i="21"/>
  <c r="F11" i="21"/>
  <c r="C36" i="21"/>
  <c r="D36" i="21"/>
  <c r="E36" i="21"/>
  <c r="F36" i="21" l="1"/>
  <c r="G85" i="11"/>
  <c r="F35" i="19" l="1"/>
  <c r="F34" i="19"/>
  <c r="F33" i="19"/>
  <c r="F32" i="19"/>
  <c r="F31" i="19"/>
  <c r="F30" i="19"/>
  <c r="C36" i="19"/>
  <c r="D36" i="19"/>
  <c r="E36" i="19"/>
  <c r="F22" i="20"/>
  <c r="F21" i="20"/>
  <c r="F20" i="20"/>
  <c r="F19" i="20"/>
  <c r="F18" i="20"/>
  <c r="F17" i="20"/>
  <c r="E37" i="1"/>
  <c r="F29" i="19"/>
  <c r="F28" i="19"/>
  <c r="F27" i="19"/>
  <c r="F25" i="19"/>
  <c r="F26" i="19"/>
  <c r="F22" i="19"/>
  <c r="F21" i="19"/>
  <c r="F36" i="19" l="1"/>
  <c r="F16" i="20"/>
  <c r="F15" i="20"/>
  <c r="F14" i="20"/>
  <c r="F13" i="20"/>
  <c r="F12" i="20"/>
  <c r="F15" i="19" l="1"/>
  <c r="F14" i="19"/>
  <c r="F13" i="19"/>
  <c r="F12" i="19"/>
  <c r="F11" i="19"/>
  <c r="F16" i="19"/>
  <c r="F17" i="19"/>
  <c r="F18" i="19"/>
  <c r="F19" i="19"/>
  <c r="F20" i="19"/>
  <c r="D76" i="11" l="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E80" i="11"/>
  <c r="G80" i="11"/>
  <c r="H80" i="11"/>
  <c r="I80" i="11"/>
  <c r="J80" i="11"/>
  <c r="K80" i="11"/>
  <c r="L80" i="11"/>
  <c r="M80" i="11"/>
  <c r="N80" i="11"/>
  <c r="P80" i="11"/>
  <c r="Q80" i="11"/>
  <c r="R80" i="11"/>
  <c r="S80" i="11"/>
  <c r="T80" i="11"/>
  <c r="U80" i="11"/>
  <c r="V80" i="11"/>
  <c r="W80" i="11"/>
  <c r="X80" i="11"/>
  <c r="Y80" i="11"/>
  <c r="Z80" i="11"/>
  <c r="AA80" i="11"/>
  <c r="G91" i="12"/>
  <c r="F15" i="17"/>
  <c r="F14" i="17"/>
  <c r="F13" i="17"/>
  <c r="F12" i="17"/>
  <c r="S82" i="11" l="1"/>
  <c r="F38" i="18" l="1"/>
  <c r="F37" i="18"/>
  <c r="F36" i="18"/>
  <c r="F35" i="18"/>
  <c r="F34" i="18"/>
  <c r="F33" i="18"/>
  <c r="F32" i="18"/>
  <c r="F31" i="18"/>
  <c r="F30" i="18"/>
  <c r="F11" i="17"/>
  <c r="D82" i="12" l="1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E86" i="12"/>
  <c r="G86" i="12"/>
  <c r="H86" i="12"/>
  <c r="I86" i="12"/>
  <c r="J86" i="12"/>
  <c r="K86" i="12"/>
  <c r="L86" i="12"/>
  <c r="M86" i="12"/>
  <c r="N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F29" i="18" l="1"/>
  <c r="F28" i="18"/>
  <c r="F27" i="18"/>
  <c r="F26" i="18"/>
  <c r="F25" i="18"/>
  <c r="F24" i="18"/>
  <c r="F23" i="18"/>
  <c r="F22" i="18"/>
  <c r="F21" i="18"/>
  <c r="F20" i="18"/>
  <c r="F19" i="18"/>
  <c r="F18" i="18"/>
  <c r="F17" i="18"/>
  <c r="C39" i="18"/>
  <c r="D39" i="18"/>
  <c r="E39" i="18"/>
  <c r="G82" i="49"/>
  <c r="D37" i="1"/>
  <c r="F39" i="18" l="1"/>
  <c r="F35" i="1"/>
  <c r="F36" i="1"/>
  <c r="F34" i="1"/>
  <c r="C37" i="1"/>
  <c r="F30" i="1"/>
  <c r="F29" i="1"/>
  <c r="F28" i="1"/>
  <c r="F33" i="1"/>
  <c r="F32" i="1"/>
  <c r="F31" i="1"/>
  <c r="D34" i="42"/>
  <c r="C34" i="42"/>
  <c r="G33" i="42"/>
  <c r="G46" i="42"/>
  <c r="G42" i="42"/>
  <c r="G34" i="42"/>
  <c r="G32" i="42"/>
  <c r="G22" i="42"/>
  <c r="G15" i="42"/>
  <c r="G11" i="42"/>
  <c r="F37" i="1" l="1"/>
  <c r="E41" i="49"/>
  <c r="F25" i="1"/>
  <c r="F24" i="1"/>
  <c r="F23" i="1"/>
  <c r="F22" i="1"/>
  <c r="F21" i="1"/>
  <c r="F20" i="1"/>
  <c r="F19" i="1"/>
  <c r="F18" i="1"/>
  <c r="F17" i="1"/>
  <c r="F16" i="1"/>
  <c r="F15" i="1"/>
  <c r="F26" i="1"/>
  <c r="F27" i="1"/>
  <c r="E10" i="42"/>
  <c r="H4" i="50" s="1"/>
  <c r="H5" i="50" s="1"/>
  <c r="H6" i="50" s="1"/>
  <c r="H7" i="50" s="1"/>
  <c r="H8" i="50" s="1"/>
  <c r="H9" i="50" s="1"/>
  <c r="H10" i="50" s="1"/>
  <c r="H11" i="50" s="1"/>
  <c r="H12" i="50" s="1"/>
  <c r="H13" i="50" s="1"/>
  <c r="H14" i="50" s="1"/>
  <c r="H15" i="50" s="1"/>
  <c r="F11" i="38"/>
  <c r="F10" i="38"/>
  <c r="F9" i="38"/>
  <c r="F8" i="38"/>
  <c r="F7" i="38"/>
  <c r="F6" i="38"/>
  <c r="F5" i="38"/>
  <c r="F4" i="38"/>
  <c r="F3" i="38"/>
  <c r="F2" i="38"/>
  <c r="F22" i="38" s="1"/>
  <c r="E17" i="37"/>
  <c r="D17" i="37"/>
  <c r="C17" i="37"/>
  <c r="F11" i="37"/>
  <c r="F10" i="37"/>
  <c r="F9" i="37"/>
  <c r="F8" i="37"/>
  <c r="F7" i="37"/>
  <c r="F6" i="37"/>
  <c r="F5" i="37"/>
  <c r="F4" i="37"/>
  <c r="F3" i="37"/>
  <c r="F2" i="37"/>
  <c r="F11" i="34"/>
  <c r="F10" i="34"/>
  <c r="F9" i="34"/>
  <c r="F8" i="34"/>
  <c r="F7" i="34"/>
  <c r="F6" i="34"/>
  <c r="F5" i="34"/>
  <c r="F4" i="34"/>
  <c r="F3" i="34"/>
  <c r="F2" i="34"/>
  <c r="F11" i="33"/>
  <c r="F10" i="33"/>
  <c r="F9" i="33"/>
  <c r="F8" i="33"/>
  <c r="F7" i="33"/>
  <c r="F6" i="33"/>
  <c r="F5" i="33"/>
  <c r="F4" i="33"/>
  <c r="F3" i="33"/>
  <c r="F2" i="33"/>
  <c r="E15" i="31"/>
  <c r="D15" i="31"/>
  <c r="C15" i="31"/>
  <c r="F11" i="31"/>
  <c r="F10" i="31"/>
  <c r="F9" i="31"/>
  <c r="F8" i="31"/>
  <c r="F7" i="31"/>
  <c r="F6" i="31"/>
  <c r="F5" i="31"/>
  <c r="F4" i="31"/>
  <c r="F3" i="31"/>
  <c r="F2" i="31"/>
  <c r="E22" i="29"/>
  <c r="D22" i="29"/>
  <c r="C22" i="29"/>
  <c r="F11" i="29"/>
  <c r="F10" i="29"/>
  <c r="F9" i="29"/>
  <c r="F8" i="29"/>
  <c r="F7" i="29"/>
  <c r="F6" i="29"/>
  <c r="F5" i="29"/>
  <c r="F4" i="29"/>
  <c r="F3" i="29"/>
  <c r="F2" i="29"/>
  <c r="E15" i="25"/>
  <c r="D15" i="25"/>
  <c r="C15" i="25"/>
  <c r="F10" i="25"/>
  <c r="F9" i="25"/>
  <c r="F8" i="25"/>
  <c r="F7" i="25"/>
  <c r="F6" i="25"/>
  <c r="F5" i="25"/>
  <c r="F4" i="25"/>
  <c r="F3" i="25"/>
  <c r="F2" i="25"/>
  <c r="E22" i="23"/>
  <c r="D22" i="23"/>
  <c r="C22" i="23"/>
  <c r="F19" i="23"/>
  <c r="F11" i="23"/>
  <c r="F10" i="23"/>
  <c r="F9" i="23"/>
  <c r="F8" i="23"/>
  <c r="F7" i="23"/>
  <c r="F6" i="23"/>
  <c r="F5" i="23"/>
  <c r="F4" i="23"/>
  <c r="F3" i="23"/>
  <c r="F2" i="23"/>
  <c r="E17" i="22"/>
  <c r="D17" i="22"/>
  <c r="F11" i="22"/>
  <c r="F10" i="22"/>
  <c r="F9" i="22"/>
  <c r="F8" i="22"/>
  <c r="F7" i="22"/>
  <c r="F6" i="22"/>
  <c r="F5" i="22"/>
  <c r="F4" i="22"/>
  <c r="F3" i="22"/>
  <c r="F2" i="22"/>
  <c r="E23" i="20"/>
  <c r="D23" i="20"/>
  <c r="C23" i="20"/>
  <c r="F11" i="20"/>
  <c r="F10" i="20"/>
  <c r="F9" i="20"/>
  <c r="F8" i="20"/>
  <c r="F7" i="20"/>
  <c r="F6" i="20"/>
  <c r="F5" i="20"/>
  <c r="F4" i="20"/>
  <c r="F3" i="20"/>
  <c r="F2" i="20"/>
  <c r="E17" i="42" l="1"/>
  <c r="F22" i="23"/>
  <c r="F17" i="22"/>
  <c r="F17" i="37"/>
  <c r="F19" i="34"/>
  <c r="F16" i="33"/>
  <c r="F15" i="31"/>
  <c r="F22" i="29"/>
  <c r="F15" i="25"/>
  <c r="F23" i="20"/>
  <c r="D15" i="49"/>
  <c r="D73" i="49" s="1"/>
  <c r="E37" i="42"/>
  <c r="E48" i="42"/>
  <c r="C48" i="42"/>
  <c r="K4" i="50" s="1"/>
  <c r="D48" i="42"/>
  <c r="D37" i="42"/>
  <c r="D17" i="42"/>
  <c r="E77" i="49"/>
  <c r="O80" i="49" s="1"/>
  <c r="AA77" i="3"/>
  <c r="Z77" i="3"/>
  <c r="Y77" i="3"/>
  <c r="X77" i="3"/>
  <c r="W77" i="3"/>
  <c r="V77" i="3"/>
  <c r="U77" i="3"/>
  <c r="T77" i="3"/>
  <c r="S77" i="3"/>
  <c r="R77" i="3"/>
  <c r="Q77" i="3"/>
  <c r="P77" i="3"/>
  <c r="N77" i="3"/>
  <c r="M77" i="3"/>
  <c r="L77" i="3"/>
  <c r="K77" i="3"/>
  <c r="J77" i="3"/>
  <c r="I77" i="3"/>
  <c r="H77" i="3"/>
  <c r="G77" i="3"/>
  <c r="E77" i="3"/>
  <c r="O80" i="3" s="1"/>
  <c r="AA73" i="3"/>
  <c r="N29" i="16" s="1"/>
  <c r="Z73" i="3"/>
  <c r="N28" i="16" s="1"/>
  <c r="Y73" i="3"/>
  <c r="N27" i="16" s="1"/>
  <c r="X73" i="3"/>
  <c r="W73" i="3"/>
  <c r="N25" i="16" s="1"/>
  <c r="V73" i="3"/>
  <c r="N24" i="16" s="1"/>
  <c r="U73" i="3"/>
  <c r="N23" i="16" s="1"/>
  <c r="T73" i="3"/>
  <c r="N22" i="16" s="1"/>
  <c r="N50" i="16" s="1"/>
  <c r="S73" i="3"/>
  <c r="N21" i="16" s="1"/>
  <c r="R73" i="3"/>
  <c r="N20" i="16" s="1"/>
  <c r="Q73" i="3"/>
  <c r="N19" i="16" s="1"/>
  <c r="P73" i="3"/>
  <c r="N18" i="16" s="1"/>
  <c r="O73" i="3"/>
  <c r="N73" i="3"/>
  <c r="N15" i="16" s="1"/>
  <c r="M73" i="3"/>
  <c r="N14" i="16" s="1"/>
  <c r="L73" i="3"/>
  <c r="N13" i="16" s="1"/>
  <c r="K73" i="3"/>
  <c r="N12" i="16" s="1"/>
  <c r="N49" i="16" s="1"/>
  <c r="D30" i="50" s="1"/>
  <c r="J73" i="3"/>
  <c r="N11" i="16" s="1"/>
  <c r="I73" i="3"/>
  <c r="N10" i="16" s="1"/>
  <c r="F15" i="50" s="1"/>
  <c r="H73" i="3"/>
  <c r="N9" i="16" s="1"/>
  <c r="G73" i="3"/>
  <c r="F73" i="3"/>
  <c r="E73" i="3"/>
  <c r="D73" i="3"/>
  <c r="AA70" i="4"/>
  <c r="Z70" i="4"/>
  <c r="Y70" i="4"/>
  <c r="X70" i="4"/>
  <c r="W70" i="4"/>
  <c r="V70" i="4"/>
  <c r="U70" i="4"/>
  <c r="T70" i="4"/>
  <c r="S70" i="4"/>
  <c r="R70" i="4"/>
  <c r="Q70" i="4"/>
  <c r="P70" i="4"/>
  <c r="N70" i="4"/>
  <c r="M70" i="4"/>
  <c r="L70" i="4"/>
  <c r="K70" i="4"/>
  <c r="J70" i="4"/>
  <c r="I70" i="4"/>
  <c r="H70" i="4"/>
  <c r="G70" i="4"/>
  <c r="E70" i="4"/>
  <c r="O73" i="4" s="1"/>
  <c r="M29" i="16"/>
  <c r="M28" i="16"/>
  <c r="M27" i="16"/>
  <c r="M25" i="16"/>
  <c r="M24" i="16"/>
  <c r="M23" i="16"/>
  <c r="M22" i="16"/>
  <c r="M50" i="16" s="1"/>
  <c r="M21" i="16"/>
  <c r="M20" i="16"/>
  <c r="M19" i="16"/>
  <c r="M18" i="16"/>
  <c r="M15" i="16"/>
  <c r="M14" i="16"/>
  <c r="M13" i="16"/>
  <c r="M12" i="16"/>
  <c r="M49" i="16" s="1"/>
  <c r="D29" i="50" s="1"/>
  <c r="M11" i="16"/>
  <c r="M10" i="16"/>
  <c r="F14" i="50" s="1"/>
  <c r="M9" i="16"/>
  <c r="AA70" i="5"/>
  <c r="Z70" i="5"/>
  <c r="Y70" i="5"/>
  <c r="X70" i="5"/>
  <c r="W70" i="5"/>
  <c r="V70" i="5"/>
  <c r="U70" i="5"/>
  <c r="T70" i="5"/>
  <c r="S70" i="5"/>
  <c r="R70" i="5"/>
  <c r="Q70" i="5"/>
  <c r="P70" i="5"/>
  <c r="N70" i="5"/>
  <c r="M70" i="5"/>
  <c r="L70" i="5"/>
  <c r="K70" i="5"/>
  <c r="J70" i="5"/>
  <c r="I70" i="5"/>
  <c r="H70" i="5"/>
  <c r="G70" i="5"/>
  <c r="E70" i="5"/>
  <c r="O73" i="5" s="1"/>
  <c r="AA66" i="5"/>
  <c r="L29" i="16" s="1"/>
  <c r="Z66" i="5"/>
  <c r="L28" i="16" s="1"/>
  <c r="Y66" i="5"/>
  <c r="L27" i="16" s="1"/>
  <c r="X66" i="5"/>
  <c r="W66" i="5"/>
  <c r="L25" i="16" s="1"/>
  <c r="V66" i="5"/>
  <c r="L24" i="16" s="1"/>
  <c r="U66" i="5"/>
  <c r="L23" i="16" s="1"/>
  <c r="T66" i="5"/>
  <c r="L22" i="16" s="1"/>
  <c r="L50" i="16" s="1"/>
  <c r="S66" i="5"/>
  <c r="L21" i="16" s="1"/>
  <c r="R66" i="5"/>
  <c r="L20" i="16" s="1"/>
  <c r="Q66" i="5"/>
  <c r="L19" i="16" s="1"/>
  <c r="P66" i="5"/>
  <c r="L18" i="16" s="1"/>
  <c r="O66" i="5"/>
  <c r="N66" i="5"/>
  <c r="L15" i="16" s="1"/>
  <c r="M66" i="5"/>
  <c r="L14" i="16" s="1"/>
  <c r="L66" i="5"/>
  <c r="L13" i="16" s="1"/>
  <c r="K66" i="5"/>
  <c r="L12" i="16" s="1"/>
  <c r="L49" i="16" s="1"/>
  <c r="D28" i="50" s="1"/>
  <c r="J66" i="5"/>
  <c r="L11" i="16" s="1"/>
  <c r="I66" i="5"/>
  <c r="L10" i="16" s="1"/>
  <c r="F13" i="50" s="1"/>
  <c r="H66" i="5"/>
  <c r="L9" i="16" s="1"/>
  <c r="G66" i="5"/>
  <c r="F66" i="5"/>
  <c r="E66" i="5"/>
  <c r="D66" i="5"/>
  <c r="E31" i="39"/>
  <c r="D31" i="39"/>
  <c r="C31" i="39"/>
  <c r="F22" i="39"/>
  <c r="F15" i="39"/>
  <c r="F14" i="39"/>
  <c r="F13" i="39"/>
  <c r="F12" i="39"/>
  <c r="F11" i="39"/>
  <c r="F10" i="39"/>
  <c r="F9" i="39"/>
  <c r="F8" i="39"/>
  <c r="F7" i="39"/>
  <c r="F6" i="39"/>
  <c r="F5" i="39"/>
  <c r="F4" i="39"/>
  <c r="F3" i="39"/>
  <c r="F2" i="39"/>
  <c r="E32" i="36"/>
  <c r="D32" i="36"/>
  <c r="C32" i="36"/>
  <c r="F26" i="36"/>
  <c r="F15" i="36"/>
  <c r="F14" i="36"/>
  <c r="F13" i="36"/>
  <c r="F12" i="36"/>
  <c r="F11" i="36"/>
  <c r="F10" i="36"/>
  <c r="F9" i="36"/>
  <c r="F8" i="36"/>
  <c r="F7" i="36"/>
  <c r="F6" i="36"/>
  <c r="F5" i="36"/>
  <c r="F4" i="36"/>
  <c r="F3" i="36"/>
  <c r="F2" i="36"/>
  <c r="E33" i="35"/>
  <c r="D33" i="35"/>
  <c r="C33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F3" i="35"/>
  <c r="F2" i="35"/>
  <c r="E40" i="32"/>
  <c r="D40" i="32"/>
  <c r="C40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3" i="32"/>
  <c r="F2" i="32"/>
  <c r="E22" i="30"/>
  <c r="D22" i="30"/>
  <c r="C22" i="30"/>
  <c r="F17" i="30"/>
  <c r="F16" i="30"/>
  <c r="F14" i="30"/>
  <c r="F13" i="30"/>
  <c r="F12" i="30"/>
  <c r="F11" i="30"/>
  <c r="F10" i="30"/>
  <c r="F9" i="30"/>
  <c r="F8" i="30"/>
  <c r="F7" i="30"/>
  <c r="F6" i="30"/>
  <c r="F5" i="30"/>
  <c r="F4" i="30"/>
  <c r="F3" i="30"/>
  <c r="F2" i="30"/>
  <c r="E40" i="28"/>
  <c r="D40" i="28"/>
  <c r="C40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2" i="28"/>
  <c r="E19" i="27"/>
  <c r="D19" i="27"/>
  <c r="C19" i="27"/>
  <c r="F14" i="27"/>
  <c r="F13" i="27"/>
  <c r="F12" i="27"/>
  <c r="F11" i="27"/>
  <c r="F10" i="27"/>
  <c r="F9" i="27"/>
  <c r="F8" i="27"/>
  <c r="F7" i="27"/>
  <c r="F6" i="27"/>
  <c r="F5" i="27"/>
  <c r="F4" i="27"/>
  <c r="F3" i="27"/>
  <c r="F2" i="27"/>
  <c r="E31" i="24"/>
  <c r="D31" i="24"/>
  <c r="C31" i="24"/>
  <c r="F25" i="24"/>
  <c r="F24" i="24"/>
  <c r="F14" i="24"/>
  <c r="F13" i="24"/>
  <c r="F12" i="24"/>
  <c r="F11" i="24"/>
  <c r="F10" i="24"/>
  <c r="F9" i="24"/>
  <c r="F8" i="24"/>
  <c r="F7" i="24"/>
  <c r="F6" i="24"/>
  <c r="F5" i="24"/>
  <c r="F4" i="24"/>
  <c r="F3" i="24"/>
  <c r="F2" i="24"/>
  <c r="F10" i="21"/>
  <c r="F9" i="21"/>
  <c r="F8" i="21"/>
  <c r="F7" i="21"/>
  <c r="F6" i="21"/>
  <c r="F5" i="21"/>
  <c r="F4" i="21"/>
  <c r="F3" i="21"/>
  <c r="F2" i="21"/>
  <c r="F10" i="19"/>
  <c r="F9" i="19"/>
  <c r="F8" i="19"/>
  <c r="F7" i="19"/>
  <c r="F6" i="19"/>
  <c r="F5" i="19"/>
  <c r="F4" i="19"/>
  <c r="F3" i="19"/>
  <c r="F2" i="19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7"/>
  <c r="D16" i="17"/>
  <c r="C16" i="17"/>
  <c r="F10" i="17"/>
  <c r="F9" i="17"/>
  <c r="F8" i="17"/>
  <c r="F7" i="17"/>
  <c r="F6" i="17"/>
  <c r="F5" i="17"/>
  <c r="F4" i="17"/>
  <c r="F3" i="17"/>
  <c r="F2" i="17"/>
  <c r="AA83" i="6"/>
  <c r="Z83" i="6"/>
  <c r="Y83" i="6"/>
  <c r="X83" i="6"/>
  <c r="W83" i="6"/>
  <c r="V83" i="6"/>
  <c r="U83" i="6"/>
  <c r="T83" i="6"/>
  <c r="S83" i="6"/>
  <c r="R83" i="6"/>
  <c r="Q83" i="6"/>
  <c r="P83" i="6"/>
  <c r="N83" i="6"/>
  <c r="M83" i="6"/>
  <c r="L83" i="6"/>
  <c r="K83" i="6"/>
  <c r="J83" i="6"/>
  <c r="I83" i="6"/>
  <c r="H83" i="6"/>
  <c r="G83" i="6"/>
  <c r="E83" i="6"/>
  <c r="O86" i="6" s="1"/>
  <c r="K29" i="16"/>
  <c r="K28" i="16"/>
  <c r="K27" i="16"/>
  <c r="K26" i="16"/>
  <c r="K25" i="16"/>
  <c r="K24" i="16"/>
  <c r="K23" i="16"/>
  <c r="K22" i="16"/>
  <c r="K50" i="16" s="1"/>
  <c r="K21" i="16"/>
  <c r="K20" i="16"/>
  <c r="K19" i="16"/>
  <c r="K18" i="16"/>
  <c r="K15" i="16"/>
  <c r="K14" i="16"/>
  <c r="K13" i="16"/>
  <c r="K12" i="16"/>
  <c r="K49" i="16" s="1"/>
  <c r="D27" i="50" s="1"/>
  <c r="K11" i="16"/>
  <c r="K10" i="16"/>
  <c r="F12" i="50" s="1"/>
  <c r="K9" i="16"/>
  <c r="AA55" i="7"/>
  <c r="Z55" i="7"/>
  <c r="Y55" i="7"/>
  <c r="X55" i="7"/>
  <c r="W55" i="7"/>
  <c r="V55" i="7"/>
  <c r="U55" i="7"/>
  <c r="T55" i="7"/>
  <c r="S55" i="7"/>
  <c r="R55" i="7"/>
  <c r="Q55" i="7"/>
  <c r="P55" i="7"/>
  <c r="N55" i="7"/>
  <c r="M55" i="7"/>
  <c r="L55" i="7"/>
  <c r="K55" i="7"/>
  <c r="J55" i="7"/>
  <c r="I55" i="7"/>
  <c r="H55" i="7"/>
  <c r="G55" i="7"/>
  <c r="E55" i="7"/>
  <c r="O58" i="7" s="1"/>
  <c r="J29" i="16"/>
  <c r="J28" i="16"/>
  <c r="J27" i="16"/>
  <c r="J26" i="16"/>
  <c r="J25" i="16"/>
  <c r="J24" i="16"/>
  <c r="J23" i="16"/>
  <c r="J22" i="16"/>
  <c r="J50" i="16" s="1"/>
  <c r="J21" i="16"/>
  <c r="J20" i="16"/>
  <c r="J19" i="16"/>
  <c r="J18" i="16"/>
  <c r="J15" i="16"/>
  <c r="J14" i="16"/>
  <c r="J13" i="16"/>
  <c r="J12" i="16"/>
  <c r="J49" i="16" s="1"/>
  <c r="D26" i="50" s="1"/>
  <c r="J11" i="16"/>
  <c r="J10" i="16"/>
  <c r="F11" i="50" s="1"/>
  <c r="J9" i="16"/>
  <c r="AA83" i="8"/>
  <c r="Z83" i="8"/>
  <c r="Y83" i="8"/>
  <c r="X83" i="8"/>
  <c r="W83" i="8"/>
  <c r="V83" i="8"/>
  <c r="U83" i="8"/>
  <c r="T83" i="8"/>
  <c r="S83" i="8"/>
  <c r="R83" i="8"/>
  <c r="Q83" i="8"/>
  <c r="P83" i="8"/>
  <c r="N83" i="8"/>
  <c r="M83" i="8"/>
  <c r="L83" i="8"/>
  <c r="K83" i="8"/>
  <c r="J83" i="8"/>
  <c r="I83" i="8"/>
  <c r="H83" i="8"/>
  <c r="G83" i="8"/>
  <c r="E83" i="8"/>
  <c r="O86" i="8" s="1"/>
  <c r="AA79" i="8"/>
  <c r="I29" i="16" s="1"/>
  <c r="Z79" i="8"/>
  <c r="I28" i="16" s="1"/>
  <c r="Y79" i="8"/>
  <c r="I27" i="16" s="1"/>
  <c r="X79" i="8"/>
  <c r="I26" i="16" s="1"/>
  <c r="W79" i="8"/>
  <c r="I25" i="16" s="1"/>
  <c r="V79" i="8"/>
  <c r="I24" i="16" s="1"/>
  <c r="U79" i="8"/>
  <c r="I23" i="16" s="1"/>
  <c r="T79" i="8"/>
  <c r="I22" i="16" s="1"/>
  <c r="I50" i="16" s="1"/>
  <c r="S79" i="8"/>
  <c r="I21" i="16" s="1"/>
  <c r="R79" i="8"/>
  <c r="I20" i="16" s="1"/>
  <c r="Q79" i="8"/>
  <c r="I19" i="16" s="1"/>
  <c r="P79" i="8"/>
  <c r="I18" i="16" s="1"/>
  <c r="O79" i="8"/>
  <c r="N79" i="8"/>
  <c r="I15" i="16" s="1"/>
  <c r="M79" i="8"/>
  <c r="I14" i="16" s="1"/>
  <c r="L79" i="8"/>
  <c r="I13" i="16" s="1"/>
  <c r="K79" i="8"/>
  <c r="I12" i="16" s="1"/>
  <c r="I49" i="16" s="1"/>
  <c r="D25" i="50" s="1"/>
  <c r="J79" i="8"/>
  <c r="I11" i="16" s="1"/>
  <c r="I79" i="8"/>
  <c r="I10" i="16" s="1"/>
  <c r="F10" i="50" s="1"/>
  <c r="H79" i="8"/>
  <c r="I9" i="16" s="1"/>
  <c r="G79" i="8"/>
  <c r="F79" i="8"/>
  <c r="E79" i="8"/>
  <c r="D79" i="8"/>
  <c r="AA58" i="9"/>
  <c r="Z58" i="9"/>
  <c r="Y58" i="9"/>
  <c r="X58" i="9"/>
  <c r="W58" i="9"/>
  <c r="V58" i="9"/>
  <c r="U58" i="9"/>
  <c r="T58" i="9"/>
  <c r="S58" i="9"/>
  <c r="R58" i="9"/>
  <c r="Q58" i="9"/>
  <c r="P58" i="9"/>
  <c r="N58" i="9"/>
  <c r="M58" i="9"/>
  <c r="L58" i="9"/>
  <c r="K58" i="9"/>
  <c r="J58" i="9"/>
  <c r="I58" i="9"/>
  <c r="H58" i="9"/>
  <c r="G58" i="9"/>
  <c r="E58" i="9"/>
  <c r="O61" i="9" s="1"/>
  <c r="AA54" i="9"/>
  <c r="H29" i="16" s="1"/>
  <c r="Z54" i="9"/>
  <c r="H28" i="16" s="1"/>
  <c r="Y54" i="9"/>
  <c r="H27" i="16" s="1"/>
  <c r="X54" i="9"/>
  <c r="H26" i="16" s="1"/>
  <c r="W54" i="9"/>
  <c r="H25" i="16" s="1"/>
  <c r="V54" i="9"/>
  <c r="H24" i="16" s="1"/>
  <c r="U54" i="9"/>
  <c r="H23" i="16" s="1"/>
  <c r="T54" i="9"/>
  <c r="H22" i="16" s="1"/>
  <c r="H50" i="16" s="1"/>
  <c r="S54" i="9"/>
  <c r="H21" i="16" s="1"/>
  <c r="R54" i="9"/>
  <c r="H20" i="16" s="1"/>
  <c r="Q54" i="9"/>
  <c r="H19" i="16" s="1"/>
  <c r="P54" i="9"/>
  <c r="H18" i="16" s="1"/>
  <c r="O54" i="9"/>
  <c r="N54" i="9"/>
  <c r="H15" i="16" s="1"/>
  <c r="M54" i="9"/>
  <c r="H14" i="16" s="1"/>
  <c r="L54" i="9"/>
  <c r="H13" i="16" s="1"/>
  <c r="K54" i="9"/>
  <c r="H12" i="16" s="1"/>
  <c r="H49" i="16" s="1"/>
  <c r="D24" i="50" s="1"/>
  <c r="J54" i="9"/>
  <c r="H11" i="16" s="1"/>
  <c r="I54" i="9"/>
  <c r="H10" i="16" s="1"/>
  <c r="F9" i="50" s="1"/>
  <c r="H54" i="9"/>
  <c r="H9" i="16" s="1"/>
  <c r="G54" i="9"/>
  <c r="F54" i="9"/>
  <c r="E54" i="9"/>
  <c r="D54" i="9"/>
  <c r="AA73" i="10"/>
  <c r="Z73" i="10"/>
  <c r="Y73" i="10"/>
  <c r="X73" i="10"/>
  <c r="W73" i="10"/>
  <c r="V73" i="10"/>
  <c r="U73" i="10"/>
  <c r="T73" i="10"/>
  <c r="S73" i="10"/>
  <c r="R73" i="10"/>
  <c r="Q73" i="10"/>
  <c r="P73" i="10"/>
  <c r="N73" i="10"/>
  <c r="M73" i="10"/>
  <c r="L73" i="10"/>
  <c r="K73" i="10"/>
  <c r="J73" i="10"/>
  <c r="I73" i="10"/>
  <c r="H73" i="10"/>
  <c r="G73" i="10"/>
  <c r="E73" i="10"/>
  <c r="O76" i="10" s="1"/>
  <c r="AA69" i="10"/>
  <c r="G29" i="16" s="1"/>
  <c r="Z69" i="10"/>
  <c r="G28" i="16" s="1"/>
  <c r="Y69" i="10"/>
  <c r="G27" i="16" s="1"/>
  <c r="X69" i="10"/>
  <c r="G26" i="16" s="1"/>
  <c r="W69" i="10"/>
  <c r="G25" i="16" s="1"/>
  <c r="V69" i="10"/>
  <c r="G24" i="16" s="1"/>
  <c r="U69" i="10"/>
  <c r="G23" i="16" s="1"/>
  <c r="T69" i="10"/>
  <c r="G22" i="16" s="1"/>
  <c r="G50" i="16" s="1"/>
  <c r="S69" i="10"/>
  <c r="G21" i="16" s="1"/>
  <c r="R69" i="10"/>
  <c r="G20" i="16" s="1"/>
  <c r="Q69" i="10"/>
  <c r="G19" i="16" s="1"/>
  <c r="P69" i="10"/>
  <c r="G18" i="16" s="1"/>
  <c r="O69" i="10"/>
  <c r="N69" i="10"/>
  <c r="G15" i="16" s="1"/>
  <c r="M69" i="10"/>
  <c r="G14" i="16" s="1"/>
  <c r="L69" i="10"/>
  <c r="G13" i="16" s="1"/>
  <c r="K69" i="10"/>
  <c r="G12" i="16" s="1"/>
  <c r="G49" i="16" s="1"/>
  <c r="D23" i="50" s="1"/>
  <c r="J69" i="10"/>
  <c r="G11" i="16" s="1"/>
  <c r="I69" i="10"/>
  <c r="G10" i="16" s="1"/>
  <c r="F8" i="50" s="1"/>
  <c r="H69" i="10"/>
  <c r="G9" i="16" s="1"/>
  <c r="G69" i="10"/>
  <c r="F69" i="10"/>
  <c r="E69" i="10"/>
  <c r="D69" i="10"/>
  <c r="E29" i="16"/>
  <c r="E9" i="16"/>
  <c r="AA75" i="13"/>
  <c r="Z75" i="13"/>
  <c r="Y75" i="13"/>
  <c r="X75" i="13"/>
  <c r="W75" i="13"/>
  <c r="V75" i="13"/>
  <c r="U75" i="13"/>
  <c r="T75" i="13"/>
  <c r="S75" i="13"/>
  <c r="R75" i="13"/>
  <c r="Q75" i="13"/>
  <c r="P75" i="13"/>
  <c r="N75" i="13"/>
  <c r="M75" i="13"/>
  <c r="L75" i="13"/>
  <c r="K75" i="13"/>
  <c r="J75" i="13"/>
  <c r="I75" i="13"/>
  <c r="H75" i="13"/>
  <c r="G75" i="13"/>
  <c r="E75" i="13"/>
  <c r="O78" i="13" s="1"/>
  <c r="AA71" i="13"/>
  <c r="F29" i="16" s="1"/>
  <c r="Z71" i="13"/>
  <c r="F28" i="16" s="1"/>
  <c r="Y71" i="13"/>
  <c r="F27" i="16" s="1"/>
  <c r="X71" i="13"/>
  <c r="F26" i="16" s="1"/>
  <c r="W71" i="13"/>
  <c r="F25" i="16" s="1"/>
  <c r="V71" i="13"/>
  <c r="F24" i="16" s="1"/>
  <c r="U71" i="13"/>
  <c r="F23" i="16" s="1"/>
  <c r="T71" i="13"/>
  <c r="F22" i="16" s="1"/>
  <c r="F50" i="16" s="1"/>
  <c r="S71" i="13"/>
  <c r="F21" i="16" s="1"/>
  <c r="R71" i="13"/>
  <c r="F20" i="16" s="1"/>
  <c r="Q71" i="13"/>
  <c r="F19" i="16" s="1"/>
  <c r="P71" i="13"/>
  <c r="F18" i="16" s="1"/>
  <c r="O71" i="13"/>
  <c r="N71" i="13"/>
  <c r="F15" i="16" s="1"/>
  <c r="M71" i="13"/>
  <c r="F14" i="16" s="1"/>
  <c r="L71" i="13"/>
  <c r="F13" i="16" s="1"/>
  <c r="K71" i="13"/>
  <c r="F12" i="16" s="1"/>
  <c r="F49" i="16" s="1"/>
  <c r="D22" i="50" s="1"/>
  <c r="J71" i="13"/>
  <c r="F11" i="16" s="1"/>
  <c r="I71" i="13"/>
  <c r="F10" i="16" s="1"/>
  <c r="F7" i="50" s="1"/>
  <c r="H71" i="13"/>
  <c r="F9" i="16" s="1"/>
  <c r="G71" i="13"/>
  <c r="F71" i="13"/>
  <c r="E71" i="13"/>
  <c r="D71" i="13"/>
  <c r="E28" i="16"/>
  <c r="E27" i="16"/>
  <c r="E26" i="16"/>
  <c r="E25" i="16"/>
  <c r="E24" i="16"/>
  <c r="E23" i="16"/>
  <c r="E21" i="16"/>
  <c r="E20" i="16"/>
  <c r="E19" i="16"/>
  <c r="E18" i="16"/>
  <c r="E15" i="16"/>
  <c r="E14" i="16"/>
  <c r="E13" i="16"/>
  <c r="E11" i="16"/>
  <c r="O83" i="11"/>
  <c r="E22" i="16"/>
  <c r="E50" i="16" s="1"/>
  <c r="E12" i="16"/>
  <c r="E49" i="16" s="1"/>
  <c r="D21" i="50" s="1"/>
  <c r="E10" i="16"/>
  <c r="F6" i="50" s="1"/>
  <c r="C6" i="16"/>
  <c r="O6" i="16" s="1"/>
  <c r="AA77" i="49"/>
  <c r="Z77" i="49"/>
  <c r="Y77" i="49"/>
  <c r="X77" i="49"/>
  <c r="W77" i="49"/>
  <c r="V77" i="49"/>
  <c r="U77" i="49"/>
  <c r="T77" i="49"/>
  <c r="S77" i="49"/>
  <c r="R77" i="49"/>
  <c r="Q77" i="49"/>
  <c r="P77" i="49"/>
  <c r="N77" i="49"/>
  <c r="M77" i="49"/>
  <c r="L77" i="49"/>
  <c r="K77" i="49"/>
  <c r="J77" i="49"/>
  <c r="I77" i="49"/>
  <c r="H77" i="49"/>
  <c r="G77" i="49"/>
  <c r="F77" i="49"/>
  <c r="AA73" i="49"/>
  <c r="C29" i="16" s="1"/>
  <c r="Z73" i="49"/>
  <c r="C28" i="16" s="1"/>
  <c r="Y73" i="49"/>
  <c r="C27" i="16" s="1"/>
  <c r="X73" i="49"/>
  <c r="C26" i="16" s="1"/>
  <c r="W73" i="49"/>
  <c r="C25" i="16" s="1"/>
  <c r="V73" i="49"/>
  <c r="C24" i="16" s="1"/>
  <c r="U73" i="49"/>
  <c r="C23" i="16" s="1"/>
  <c r="T73" i="49"/>
  <c r="C22" i="16" s="1"/>
  <c r="C50" i="16" s="1"/>
  <c r="S73" i="49"/>
  <c r="C21" i="16" s="1"/>
  <c r="R73" i="49"/>
  <c r="C20" i="16" s="1"/>
  <c r="Q73" i="49"/>
  <c r="C19" i="16" s="1"/>
  <c r="P73" i="49"/>
  <c r="C18" i="16" s="1"/>
  <c r="O73" i="49"/>
  <c r="N73" i="49"/>
  <c r="C15" i="16" s="1"/>
  <c r="M73" i="49"/>
  <c r="C14" i="16" s="1"/>
  <c r="L73" i="49"/>
  <c r="C13" i="16" s="1"/>
  <c r="K73" i="49"/>
  <c r="C12" i="16" s="1"/>
  <c r="C49" i="16" s="1"/>
  <c r="D19" i="50" s="1"/>
  <c r="J73" i="49"/>
  <c r="C11" i="16" s="1"/>
  <c r="I73" i="49"/>
  <c r="C10" i="16" s="1"/>
  <c r="F4" i="50" s="1"/>
  <c r="E4" i="50" s="1"/>
  <c r="E5" i="50" s="1"/>
  <c r="H73" i="49"/>
  <c r="C9" i="16" s="1"/>
  <c r="G73" i="49"/>
  <c r="F73" i="49"/>
  <c r="O5" i="49"/>
  <c r="O77" i="49" s="1"/>
  <c r="O89" i="12"/>
  <c r="D29" i="16"/>
  <c r="D28" i="16"/>
  <c r="D27" i="16"/>
  <c r="D26" i="16"/>
  <c r="D25" i="16"/>
  <c r="D24" i="16"/>
  <c r="D23" i="16"/>
  <c r="D22" i="16"/>
  <c r="D50" i="16" s="1"/>
  <c r="D21" i="16"/>
  <c r="D20" i="16"/>
  <c r="D19" i="16"/>
  <c r="D18" i="16"/>
  <c r="D15" i="16"/>
  <c r="D14" i="16"/>
  <c r="D13" i="16"/>
  <c r="D12" i="16"/>
  <c r="D49" i="16" s="1"/>
  <c r="D20" i="50" s="1"/>
  <c r="D11" i="16"/>
  <c r="D10" i="16"/>
  <c r="F5" i="50" s="1"/>
  <c r="D9" i="16"/>
  <c r="F8" i="2"/>
  <c r="F7" i="2"/>
  <c r="F6" i="2"/>
  <c r="F14" i="1"/>
  <c r="F13" i="1"/>
  <c r="F12" i="1"/>
  <c r="F11" i="1"/>
  <c r="F10" i="1"/>
  <c r="F9" i="1"/>
  <c r="F8" i="1"/>
  <c r="F7" i="1"/>
  <c r="F6" i="1"/>
  <c r="F5" i="1"/>
  <c r="F4" i="1"/>
  <c r="F3" i="1"/>
  <c r="F2" i="1"/>
  <c r="F5" i="2"/>
  <c r="C15" i="42"/>
  <c r="C17" i="42" s="1"/>
  <c r="B17" i="42"/>
  <c r="B20" i="42"/>
  <c r="C20" i="42"/>
  <c r="B21" i="42"/>
  <c r="C21" i="42"/>
  <c r="B22" i="42"/>
  <c r="C22" i="42"/>
  <c r="B23" i="42"/>
  <c r="C23" i="42"/>
  <c r="B24" i="42"/>
  <c r="C24" i="42"/>
  <c r="B25" i="42"/>
  <c r="C25" i="42"/>
  <c r="B26" i="42"/>
  <c r="C26" i="42"/>
  <c r="B27" i="42"/>
  <c r="C27" i="42"/>
  <c r="B28" i="42"/>
  <c r="C28" i="42"/>
  <c r="B29" i="42"/>
  <c r="C29" i="42"/>
  <c r="B30" i="42"/>
  <c r="C30" i="42"/>
  <c r="H31" i="42"/>
  <c r="C32" i="42"/>
  <c r="B48" i="42"/>
  <c r="F2" i="2"/>
  <c r="F3" i="2"/>
  <c r="F4" i="2"/>
  <c r="F9" i="2"/>
  <c r="F10" i="2"/>
  <c r="F11" i="2"/>
  <c r="C12" i="2"/>
  <c r="D12" i="2"/>
  <c r="E12" i="2"/>
  <c r="O35" i="16"/>
  <c r="H34" i="42"/>
  <c r="E6" i="50" l="1"/>
  <c r="E7" i="50" s="1"/>
  <c r="B37" i="42"/>
  <c r="B39" i="42" s="1"/>
  <c r="C6" i="42" s="1"/>
  <c r="F31" i="39"/>
  <c r="S79" i="3"/>
  <c r="F32" i="36"/>
  <c r="S72" i="4"/>
  <c r="F33" i="35"/>
  <c r="S72" i="5"/>
  <c r="F40" i="32"/>
  <c r="S85" i="6"/>
  <c r="F22" i="30"/>
  <c r="S57" i="7"/>
  <c r="F40" i="28"/>
  <c r="S85" i="8"/>
  <c r="F19" i="27"/>
  <c r="E16" i="50"/>
  <c r="E8" i="50"/>
  <c r="E9" i="50" s="1"/>
  <c r="E10" i="50" s="1"/>
  <c r="E11" i="50" s="1"/>
  <c r="E12" i="50" s="1"/>
  <c r="E13" i="50" s="1"/>
  <c r="E14" i="50" s="1"/>
  <c r="E15" i="50" s="1"/>
  <c r="S75" i="10"/>
  <c r="F31" i="24"/>
  <c r="F16" i="17"/>
  <c r="N26" i="16"/>
  <c r="N17" i="16" s="1"/>
  <c r="M26" i="16"/>
  <c r="M17" i="16" s="1"/>
  <c r="L26" i="16"/>
  <c r="S88" i="12"/>
  <c r="C37" i="42"/>
  <c r="D39" i="42"/>
  <c r="C39" i="42"/>
  <c r="D50" i="42"/>
  <c r="E6" i="42"/>
  <c r="E39" i="42" s="1"/>
  <c r="K3" i="50" s="1"/>
  <c r="K5" i="50" s="1"/>
  <c r="K6" i="50" s="1"/>
  <c r="F6" i="42"/>
  <c r="H6" i="42" s="1"/>
  <c r="D77" i="49"/>
  <c r="E80" i="49" s="1"/>
  <c r="E73" i="49"/>
  <c r="S60" i="9"/>
  <c r="S77" i="13"/>
  <c r="J17" i="16"/>
  <c r="J8" i="16"/>
  <c r="K17" i="16"/>
  <c r="K8" i="16"/>
  <c r="I17" i="16"/>
  <c r="I8" i="16"/>
  <c r="H8" i="16"/>
  <c r="F8" i="16"/>
  <c r="F17" i="16"/>
  <c r="E8" i="16"/>
  <c r="S79" i="49"/>
  <c r="F78" i="49"/>
  <c r="K79" i="49"/>
  <c r="B50" i="42"/>
  <c r="O49" i="16"/>
  <c r="C8" i="16"/>
  <c r="O28" i="16"/>
  <c r="F30" i="42" s="1"/>
  <c r="O10" i="16"/>
  <c r="F10" i="42" s="1"/>
  <c r="G10" i="42" s="1"/>
  <c r="O13" i="16"/>
  <c r="F13" i="42" s="1"/>
  <c r="O27" i="16"/>
  <c r="F29" i="42" s="1"/>
  <c r="C52" i="16"/>
  <c r="D47" i="16" s="1"/>
  <c r="D36" i="50" s="1"/>
  <c r="O24" i="16"/>
  <c r="F26" i="42" s="1"/>
  <c r="G26" i="42" s="1"/>
  <c r="O25" i="16"/>
  <c r="F27" i="42" s="1"/>
  <c r="O15" i="16"/>
  <c r="F46" i="42" s="1"/>
  <c r="O18" i="16"/>
  <c r="F20" i="42" s="1"/>
  <c r="G20" i="42" s="1"/>
  <c r="O14" i="16"/>
  <c r="N8" i="16"/>
  <c r="M8" i="16"/>
  <c r="O21" i="16"/>
  <c r="F23" i="42" s="1"/>
  <c r="G23" i="42" s="1"/>
  <c r="G17" i="16"/>
  <c r="O23" i="16"/>
  <c r="F25" i="42" s="1"/>
  <c r="G25" i="42" s="1"/>
  <c r="C17" i="16"/>
  <c r="O11" i="16"/>
  <c r="F11" i="42" s="1"/>
  <c r="H11" i="42" s="1"/>
  <c r="D8" i="16"/>
  <c r="H17" i="16"/>
  <c r="E17" i="16"/>
  <c r="O29" i="16"/>
  <c r="O20" i="16"/>
  <c r="F22" i="42" s="1"/>
  <c r="H22" i="42" s="1"/>
  <c r="O50" i="16"/>
  <c r="L8" i="16"/>
  <c r="O9" i="16"/>
  <c r="F9" i="42" s="1"/>
  <c r="G9" i="42" s="1"/>
  <c r="O22" i="16"/>
  <c r="F24" i="42" s="1"/>
  <c r="G24" i="42" s="1"/>
  <c r="D17" i="16"/>
  <c r="G8" i="16"/>
  <c r="F12" i="2"/>
  <c r="O19" i="16"/>
  <c r="F21" i="42" s="1"/>
  <c r="G21" i="42" s="1"/>
  <c r="H32" i="42"/>
  <c r="O26" i="16" l="1"/>
  <c r="F28" i="42" s="1"/>
  <c r="G28" i="42" s="1"/>
  <c r="L17" i="16"/>
  <c r="O17" i="16" s="1"/>
  <c r="F85" i="49"/>
  <c r="F5" i="12"/>
  <c r="F86" i="12" s="1"/>
  <c r="F87" i="12" s="1"/>
  <c r="H30" i="42"/>
  <c r="G30" i="42"/>
  <c r="H29" i="42"/>
  <c r="G29" i="42"/>
  <c r="H27" i="42"/>
  <c r="G27" i="42"/>
  <c r="H13" i="42"/>
  <c r="G13" i="42"/>
  <c r="E50" i="42"/>
  <c r="D78" i="49"/>
  <c r="G83" i="49" s="1"/>
  <c r="G84" i="49" s="1"/>
  <c r="F14" i="42"/>
  <c r="F44" i="42"/>
  <c r="G44" i="42" s="1"/>
  <c r="P80" i="49"/>
  <c r="C50" i="42"/>
  <c r="H42" i="42"/>
  <c r="H26" i="42"/>
  <c r="H10" i="42"/>
  <c r="D52" i="16"/>
  <c r="E47" i="16" s="1"/>
  <c r="D37" i="50" s="1"/>
  <c r="H20" i="42"/>
  <c r="F15" i="42"/>
  <c r="H15" i="42" s="1"/>
  <c r="H23" i="42"/>
  <c r="O12" i="16"/>
  <c r="F12" i="42" s="1"/>
  <c r="G12" i="42" s="1"/>
  <c r="H46" i="42"/>
  <c r="H24" i="42"/>
  <c r="O8" i="16"/>
  <c r="C32" i="16"/>
  <c r="C37" i="16" s="1"/>
  <c r="H9" i="42"/>
  <c r="H25" i="42"/>
  <c r="H21" i="42"/>
  <c r="H28" i="42" l="1"/>
  <c r="F37" i="42"/>
  <c r="F94" i="12"/>
  <c r="F5" i="11"/>
  <c r="F80" i="11" s="1"/>
  <c r="F81" i="11" s="1"/>
  <c r="H14" i="42"/>
  <c r="G14" i="42"/>
  <c r="D5" i="12"/>
  <c r="F45" i="42"/>
  <c r="H44" i="42"/>
  <c r="E52" i="16"/>
  <c r="F47" i="16" s="1"/>
  <c r="D38" i="50" s="1"/>
  <c r="F17" i="42"/>
  <c r="O32" i="16"/>
  <c r="H12" i="42"/>
  <c r="C36" i="16"/>
  <c r="D6" i="16"/>
  <c r="D32" i="16" s="1"/>
  <c r="D37" i="16" s="1"/>
  <c r="H37" i="42" l="1"/>
  <c r="G37" i="42"/>
  <c r="H17" i="42"/>
  <c r="G17" i="42"/>
  <c r="O36" i="16"/>
  <c r="O5" i="12"/>
  <c r="D86" i="12"/>
  <c r="D87" i="12" s="1"/>
  <c r="F88" i="11"/>
  <c r="F5" i="13"/>
  <c r="F75" i="13" s="1"/>
  <c r="F76" i="13" s="1"/>
  <c r="F48" i="42"/>
  <c r="G48" i="42" s="1"/>
  <c r="G45" i="42"/>
  <c r="H45" i="42"/>
  <c r="F52" i="16"/>
  <c r="G47" i="16" s="1"/>
  <c r="D39" i="50" s="1"/>
  <c r="F39" i="42"/>
  <c r="D36" i="16"/>
  <c r="E6" i="16"/>
  <c r="E32" i="16" s="1"/>
  <c r="E37" i="16" s="1"/>
  <c r="O86" i="12" l="1"/>
  <c r="K88" i="12" s="1"/>
  <c r="P89" i="12" s="1"/>
  <c r="F83" i="13"/>
  <c r="F5" i="10"/>
  <c r="F73" i="10" s="1"/>
  <c r="F74" i="10" s="1"/>
  <c r="H48" i="42"/>
  <c r="F50" i="42"/>
  <c r="G50" i="42" s="1"/>
  <c r="G39" i="42"/>
  <c r="E89" i="12"/>
  <c r="G92" i="12"/>
  <c r="G93" i="12" s="1"/>
  <c r="D5" i="11"/>
  <c r="D80" i="11" s="1"/>
  <c r="D81" i="11" s="1"/>
  <c r="G52" i="16"/>
  <c r="H47" i="16" s="1"/>
  <c r="H39" i="42"/>
  <c r="F6" i="16"/>
  <c r="F32" i="16" s="1"/>
  <c r="F37" i="16" s="1"/>
  <c r="E36" i="16"/>
  <c r="H52" i="16" l="1"/>
  <c r="D40" i="50"/>
  <c r="F81" i="10"/>
  <c r="F5" i="9"/>
  <c r="F58" i="9" s="1"/>
  <c r="F59" i="9" s="1"/>
  <c r="H50" i="42"/>
  <c r="O5" i="11"/>
  <c r="G6" i="16"/>
  <c r="G32" i="16" s="1"/>
  <c r="G37" i="16" s="1"/>
  <c r="F36" i="16"/>
  <c r="I47" i="16" l="1"/>
  <c r="I52" i="16" s="1"/>
  <c r="J47" i="16" s="1"/>
  <c r="D42" i="50" s="1"/>
  <c r="O80" i="11"/>
  <c r="K82" i="11" s="1"/>
  <c r="P83" i="11" s="1"/>
  <c r="F66" i="9"/>
  <c r="F5" i="8"/>
  <c r="F83" i="8" s="1"/>
  <c r="F84" i="8" s="1"/>
  <c r="E83" i="11"/>
  <c r="G36" i="16"/>
  <c r="H6" i="16"/>
  <c r="H32" i="16" s="1"/>
  <c r="H37" i="16" s="1"/>
  <c r="D41" i="50" l="1"/>
  <c r="J52" i="16"/>
  <c r="K47" i="16" s="1"/>
  <c r="D43" i="50" s="1"/>
  <c r="F91" i="8"/>
  <c r="F5" i="7"/>
  <c r="F55" i="7" s="1"/>
  <c r="F56" i="7" s="1"/>
  <c r="G86" i="11"/>
  <c r="G87" i="11" s="1"/>
  <c r="D5" i="13"/>
  <c r="I6" i="16"/>
  <c r="I32" i="16" s="1"/>
  <c r="I37" i="16" s="1"/>
  <c r="H36" i="16"/>
  <c r="K52" i="16" l="1"/>
  <c r="L47" i="16" s="1"/>
  <c r="D44" i="50" s="1"/>
  <c r="F63" i="7"/>
  <c r="F5" i="6"/>
  <c r="F83" i="6" s="1"/>
  <c r="F84" i="6" s="1"/>
  <c r="D75" i="13"/>
  <c r="O5" i="13"/>
  <c r="O75" i="13" s="1"/>
  <c r="K77" i="13" s="1"/>
  <c r="P78" i="13" s="1"/>
  <c r="J6" i="16"/>
  <c r="J32" i="16" s="1"/>
  <c r="J37" i="16" s="1"/>
  <c r="I36" i="16"/>
  <c r="L52" i="16" l="1"/>
  <c r="M47" i="16" s="1"/>
  <c r="D45" i="50" s="1"/>
  <c r="F91" i="6"/>
  <c r="F5" i="5"/>
  <c r="F70" i="5" s="1"/>
  <c r="F71" i="5" s="1"/>
  <c r="D76" i="13"/>
  <c r="E78" i="13"/>
  <c r="K6" i="16"/>
  <c r="K32" i="16" s="1"/>
  <c r="K37" i="16" s="1"/>
  <c r="J36" i="16"/>
  <c r="M52" i="16" l="1"/>
  <c r="F78" i="5"/>
  <c r="F5" i="4"/>
  <c r="F70" i="4" s="1"/>
  <c r="F71" i="4" s="1"/>
  <c r="G81" i="13"/>
  <c r="G82" i="13" s="1"/>
  <c r="D5" i="10"/>
  <c r="L6" i="16"/>
  <c r="L32" i="16" s="1"/>
  <c r="L37" i="16" s="1"/>
  <c r="K36" i="16"/>
  <c r="N47" i="16" l="1"/>
  <c r="N52" i="16" s="1"/>
  <c r="D46" i="50"/>
  <c r="F78" i="4"/>
  <c r="F5" i="3"/>
  <c r="F77" i="3" s="1"/>
  <c r="F78" i="3" s="1"/>
  <c r="F85" i="3" s="1"/>
  <c r="D73" i="10"/>
  <c r="O5" i="10"/>
  <c r="O73" i="10" s="1"/>
  <c r="K75" i="10" s="1"/>
  <c r="P76" i="10" s="1"/>
  <c r="L36" i="16"/>
  <c r="M6" i="16"/>
  <c r="M32" i="16" s="1"/>
  <c r="M37" i="16" s="1"/>
  <c r="D47" i="50" l="1"/>
  <c r="O52" i="16"/>
  <c r="O37" i="16" s="1"/>
  <c r="O47" i="16"/>
  <c r="D74" i="10"/>
  <c r="E76" i="10"/>
  <c r="N6" i="16"/>
  <c r="N32" i="16" s="1"/>
  <c r="M36" i="16"/>
  <c r="N37" i="16" l="1"/>
  <c r="L3" i="50"/>
  <c r="L5" i="50" s="1"/>
  <c r="L6" i="50" s="1"/>
  <c r="K7" i="50" s="1"/>
  <c r="G79" i="10"/>
  <c r="G80" i="10" s="1"/>
  <c r="D5" i="9"/>
  <c r="N36" i="16"/>
  <c r="D58" i="9" l="1"/>
  <c r="O5" i="9"/>
  <c r="O58" i="9" s="1"/>
  <c r="K60" i="9" s="1"/>
  <c r="P61" i="9" s="1"/>
  <c r="E61" i="9" l="1"/>
  <c r="D59" i="9"/>
  <c r="G64" i="9" l="1"/>
  <c r="G65" i="9" s="1"/>
  <c r="D5" i="8"/>
  <c r="D83" i="8" l="1"/>
  <c r="O5" i="8"/>
  <c r="O83" i="8" s="1"/>
  <c r="K85" i="8" s="1"/>
  <c r="P86" i="8" s="1"/>
  <c r="E86" i="8" l="1"/>
  <c r="D84" i="8"/>
  <c r="G89" i="8" l="1"/>
  <c r="G90" i="8" s="1"/>
  <c r="D5" i="7"/>
  <c r="O5" i="7" l="1"/>
  <c r="O55" i="7" s="1"/>
  <c r="K57" i="7" s="1"/>
  <c r="P58" i="7" s="1"/>
  <c r="D55" i="7"/>
  <c r="E58" i="7" l="1"/>
  <c r="D56" i="7"/>
  <c r="G61" i="7" l="1"/>
  <c r="G62" i="7" s="1"/>
  <c r="D5" i="6"/>
  <c r="D83" i="6" l="1"/>
  <c r="O5" i="6"/>
  <c r="O83" i="6" s="1"/>
  <c r="K85" i="6" s="1"/>
  <c r="P86" i="6" s="1"/>
  <c r="D84" i="6" l="1"/>
  <c r="E86" i="6"/>
  <c r="D5" i="5" l="1"/>
  <c r="G89" i="6"/>
  <c r="G90" i="6" s="1"/>
  <c r="D70" i="5" l="1"/>
  <c r="O5" i="5"/>
  <c r="O70" i="5" s="1"/>
  <c r="K72" i="5" s="1"/>
  <c r="P73" i="5" s="1"/>
  <c r="D71" i="5" l="1"/>
  <c r="E73" i="5"/>
  <c r="G76" i="5" l="1"/>
  <c r="G77" i="5" s="1"/>
  <c r="D5" i="4"/>
  <c r="D70" i="4" l="1"/>
  <c r="O5" i="4"/>
  <c r="O70" i="4" s="1"/>
  <c r="K72" i="4" s="1"/>
  <c r="P73" i="4" s="1"/>
  <c r="E73" i="4" l="1"/>
  <c r="D71" i="4"/>
  <c r="D5" i="3" l="1"/>
  <c r="G76" i="4"/>
  <c r="G77" i="4" s="1"/>
  <c r="D77" i="3" l="1"/>
  <c r="O5" i="3"/>
  <c r="O77" i="3" s="1"/>
  <c r="K79" i="3" s="1"/>
  <c r="P80" i="3" s="1"/>
  <c r="D78" i="3" l="1"/>
  <c r="G83" i="3" s="1"/>
  <c r="G84" i="3" s="1"/>
  <c r="E8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jean-pierre</author>
  </authors>
  <commentList>
    <comment ref="M35" authorId="0" shapeId="0" xr:uid="{00000000-0006-0000-2400-000001000000}">
      <text>
        <r>
          <rPr>
            <sz val="9"/>
            <color indexed="81"/>
            <rFont val="Tahoma"/>
            <family val="2"/>
          </rPr>
          <t xml:space="preserve">Dernier acompte
725
</t>
        </r>
      </text>
    </comment>
  </commentList>
</comments>
</file>

<file path=xl/sharedStrings.xml><?xml version="1.0" encoding="utf-8"?>
<sst xmlns="http://schemas.openxmlformats.org/spreadsheetml/2006/main" count="4535" uniqueCount="755">
  <si>
    <t>Total</t>
  </si>
  <si>
    <t xml:space="preserve">Date </t>
  </si>
  <si>
    <t>Libellés</t>
  </si>
  <si>
    <t>Banque - BNP</t>
  </si>
  <si>
    <t>Caisse (espèces)</t>
  </si>
  <si>
    <t xml:space="preserve">Chapeaux Réunion de comité </t>
  </si>
  <si>
    <t>Contributions Normales</t>
  </si>
  <si>
    <t>Contributions Exeptionnelles</t>
  </si>
  <si>
    <t xml:space="preserve">Vente Littérature </t>
  </si>
  <si>
    <t xml:space="preserve">Vente Clés permanence </t>
  </si>
  <si>
    <t xml:space="preserve">Intérets Prudente Réserve </t>
  </si>
  <si>
    <t xml:space="preserve">Virement Interne </t>
  </si>
  <si>
    <t>Reports Caisse + BNP N-1</t>
  </si>
  <si>
    <t xml:space="preserve">Eaux Electricité </t>
  </si>
  <si>
    <t>Liste des réunions+</t>
  </si>
  <si>
    <t xml:space="preserve">Frais de secrétariat + Frais informatique </t>
  </si>
  <si>
    <t xml:space="preserve">Achat Littérature </t>
  </si>
  <si>
    <t xml:space="preserve">Location local Sauton + charges </t>
  </si>
  <si>
    <t xml:space="preserve">Téléphone permanence + Abt internet + Affranchissement </t>
  </si>
  <si>
    <t>Achat badge</t>
  </si>
  <si>
    <t xml:space="preserve"> </t>
  </si>
  <si>
    <t>N°</t>
  </si>
  <si>
    <t>Recettes</t>
  </si>
  <si>
    <t>Dépenses</t>
  </si>
  <si>
    <t>Report N-1</t>
  </si>
  <si>
    <t>Total du mois</t>
  </si>
  <si>
    <t>Solde trésorerie BNP + CAISSE</t>
  </si>
  <si>
    <t>Total recettes</t>
  </si>
  <si>
    <t>Total dépenses</t>
  </si>
  <si>
    <t>Solde trésorerie Caisse et BNP</t>
  </si>
  <si>
    <t>Contrôle recettes-dépenses</t>
  </si>
  <si>
    <t>Achat Littérature</t>
  </si>
  <si>
    <t>Vente Littérature</t>
  </si>
  <si>
    <t>Comptabilisé</t>
  </si>
  <si>
    <t>Caisse Littérature</t>
  </si>
  <si>
    <t>REPORT</t>
  </si>
  <si>
    <t xml:space="preserve">-Chapeaux Réunion de comité </t>
  </si>
  <si>
    <t>-Contributions normales</t>
  </si>
  <si>
    <t>-Contributions exceptionnelles</t>
  </si>
  <si>
    <t>-Intérêts prudente réserve</t>
  </si>
  <si>
    <t>-Eau Electricité</t>
  </si>
  <si>
    <t>-Liste des réunions</t>
  </si>
  <si>
    <t>-Location local Sauton et charges</t>
  </si>
  <si>
    <t>-Téléphone permanence, Abt internet et affranchissement</t>
  </si>
  <si>
    <t>-Achat de badge</t>
  </si>
  <si>
    <t>-Vente littérature</t>
  </si>
  <si>
    <t>-Achat de littérature</t>
  </si>
  <si>
    <t>En stock</t>
  </si>
  <si>
    <t>BNP compte courant+Caisse</t>
  </si>
  <si>
    <t>__</t>
  </si>
  <si>
    <t>Ecart</t>
  </si>
  <si>
    <t>Prudente réserve Livret A BNP</t>
  </si>
  <si>
    <t>Caisse Logistique</t>
  </si>
  <si>
    <t>-Transport,parking</t>
  </si>
  <si>
    <t>Relevé BNP</t>
  </si>
  <si>
    <t>Date</t>
  </si>
  <si>
    <t>Virement</t>
  </si>
  <si>
    <t>Chèque</t>
  </si>
  <si>
    <t>Espèce</t>
  </si>
  <si>
    <t>Valorisation du stock</t>
  </si>
  <si>
    <t xml:space="preserve">Trésorerie </t>
  </si>
  <si>
    <t xml:space="preserve">Frais de banque </t>
  </si>
  <si>
    <t>-Frais de banque</t>
  </si>
  <si>
    <t>Frais de banque</t>
  </si>
  <si>
    <t>Reports Caisse +       BNP( N-1)</t>
  </si>
  <si>
    <t>Transport  parking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</si>
  <si>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</si>
  <si>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</si>
  <si>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</si>
  <si>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</si>
  <si>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</si>
  <si>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</si>
  <si>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</si>
  <si>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</si>
  <si>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</si>
  <si>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</si>
  <si>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</si>
  <si>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</si>
  <si>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Contributions cumulées</t>
  </si>
  <si>
    <t>Contributions mensuelles</t>
  </si>
  <si>
    <t>VENTE</t>
  </si>
  <si>
    <t>Prudente réserve</t>
  </si>
  <si>
    <t>TOTAL</t>
  </si>
  <si>
    <t>TRESORERIE</t>
  </si>
  <si>
    <t>ECART &gt;0</t>
  </si>
  <si>
    <t>Caisse Centrale</t>
  </si>
  <si>
    <t>Cpt courant+Liquidité</t>
  </si>
  <si>
    <t>SOLDE COMPTE COURANT</t>
  </si>
  <si>
    <t xml:space="preserve">Frais de secrétariat </t>
  </si>
  <si>
    <t>ENCAISSEMENT</t>
  </si>
  <si>
    <t>DECAISSEMENT</t>
  </si>
  <si>
    <t>TOTAL ENCAISSEMENT</t>
  </si>
  <si>
    <t>TOTAL DECAISSEMENT</t>
  </si>
  <si>
    <t>SOLDE DE TRESORERIE</t>
  </si>
  <si>
    <t>Réalisé</t>
  </si>
  <si>
    <t>Prévisonnel</t>
  </si>
  <si>
    <t>-Vente badges</t>
  </si>
  <si>
    <t>-Vente badge</t>
  </si>
  <si>
    <t>Entretien Equipement IGPB + Petits travaux</t>
  </si>
  <si>
    <t>SOLDE PRUDENTE RESERVE</t>
  </si>
  <si>
    <t xml:space="preserve">Vente Badge permanence </t>
  </si>
  <si>
    <t>-Virement interne (Provisions Dépenses exceptionnelles)</t>
  </si>
  <si>
    <t>Virement interne</t>
  </si>
  <si>
    <t>-Dépenses exceptionnelles</t>
  </si>
  <si>
    <t>Dépenses exceptionnelles</t>
  </si>
  <si>
    <t>Encaissement provenant du surplus de la prudente réserve</t>
  </si>
  <si>
    <t>Commentaires</t>
  </si>
  <si>
    <t>-Intérets Prudente réserve</t>
  </si>
  <si>
    <t>-Abt Téléphone, Internet, Hébergement WIX, Pack Licences Office 365 et affranchissement</t>
  </si>
  <si>
    <t>-Frais de secrétariat</t>
  </si>
  <si>
    <t>-Achat de badges</t>
  </si>
  <si>
    <t>-Entretien équipement IGPB, petits travaux</t>
  </si>
  <si>
    <t>-Entretien équipement IGPB, Petits travaux</t>
  </si>
  <si>
    <t>Provision 1 an de loyer( 1.700€ x 4T)</t>
  </si>
  <si>
    <t>-Transport, parking</t>
  </si>
  <si>
    <t>SOLDE COMPTE COURANT( N-1), (N) et (T)</t>
  </si>
  <si>
    <t xml:space="preserve">PRUDENTE RESERVE( N-1), (N) et (T) </t>
  </si>
  <si>
    <t>Trésorier de l'IGPB</t>
  </si>
  <si>
    <t>-Virement provisions dépenses exceptionnelles sur compte courant</t>
  </si>
  <si>
    <t>Actuel</t>
  </si>
  <si>
    <t>% Actuel</t>
  </si>
  <si>
    <t>-Virement Interne(Contribution RPIM et IDF)</t>
  </si>
  <si>
    <t>-Virement interne(Contribution RPIM et IDF)</t>
  </si>
  <si>
    <t>Prévisions Budget</t>
  </si>
  <si>
    <t>Budget</t>
  </si>
  <si>
    <t>Frais de livraison littérature de Campo Formio à Sauton. Frais de parking</t>
  </si>
  <si>
    <t>Alcooliques Anonymes Intergroupe 2022</t>
  </si>
  <si>
    <t>Loyer T1 2022</t>
  </si>
  <si>
    <t>SUIVI MENSUEL TRESORERIE 2022</t>
  </si>
  <si>
    <t>Christian T</t>
  </si>
  <si>
    <t>Aout</t>
  </si>
  <si>
    <t>Decembre</t>
  </si>
  <si>
    <t>Facture Abonnement Annuel Wix 2022</t>
  </si>
  <si>
    <t>Facture Abonnement Zoom 11/2021</t>
  </si>
  <si>
    <t>Facture Abonnement Zoom 12/2021</t>
  </si>
  <si>
    <t>Facture 2 Lic Annuelle Office 2022</t>
  </si>
  <si>
    <t>Arrondi Fred Wix,Office,Zoom</t>
  </si>
  <si>
    <t>TOTAL 2022</t>
  </si>
  <si>
    <t>Commission Bancaire Esprit Libre</t>
  </si>
  <si>
    <t>Intêret 2021 Livret A</t>
  </si>
  <si>
    <t>Intérêts de 2021</t>
  </si>
  <si>
    <t>Contribution Les Halles de Belleville</t>
  </si>
  <si>
    <t>Contribution Champigny</t>
  </si>
  <si>
    <t xml:space="preserve">Contribution 8/18 </t>
  </si>
  <si>
    <t>Contribution Acqueduc</t>
  </si>
  <si>
    <t>Ok</t>
  </si>
  <si>
    <t>Prélèvement Free Telecom</t>
  </si>
  <si>
    <t>UnitedPrint 4000 liste réu 42-21-58509</t>
  </si>
  <si>
    <t xml:space="preserve">Budgeté à 1.500 Eur / mois  </t>
  </si>
  <si>
    <t xml:space="preserve">6 réunions en présentiel </t>
  </si>
  <si>
    <t>Prlmt Leasecom (Comptab en 2021)</t>
  </si>
  <si>
    <t>Entetien Peintures de Paris F 2112014344Jérome Sauton</t>
  </si>
  <si>
    <t>NDF Camile secrétariat</t>
  </si>
  <si>
    <t>Vente Littérature 16/12 Salpétrière</t>
  </si>
  <si>
    <t>OK</t>
  </si>
  <si>
    <t>Vente Littérature 17/12 Créteil</t>
  </si>
  <si>
    <t>Vente Littérature 17/12 Jean</t>
  </si>
  <si>
    <t>Vente Littérature 17/12 Martin</t>
  </si>
  <si>
    <t>Vente Littérature 03/01 Acqueduc</t>
  </si>
  <si>
    <t>Vente Littérature 03/01 Créteil</t>
  </si>
  <si>
    <t>Vente Littérature 03/01 Ternes</t>
  </si>
  <si>
    <t>Vente Littérature 03/01 8/18</t>
  </si>
  <si>
    <t>Vente Littérature 04/01 Christian N</t>
  </si>
  <si>
    <t>Vente Littérature 04/01 Bureau Justice</t>
  </si>
  <si>
    <t>Vente Littérature 07/01 Personnel</t>
  </si>
  <si>
    <t>Vente Littérature 07/01 Dimanche Matin</t>
  </si>
  <si>
    <t>Vente Littérature 07/01 Italie</t>
  </si>
  <si>
    <t>Vente Littérature 07/01 Jardin du Samedi</t>
  </si>
  <si>
    <t>Vente Littérature 07/01 St Germain des Près</t>
  </si>
  <si>
    <t>24,91 avec Camille (fin 2021)</t>
  </si>
  <si>
    <t>Contribution Saint Maur</t>
  </si>
  <si>
    <t>Contribution 24h</t>
  </si>
  <si>
    <t>Vente Littérature 07/01 Bureau Santé</t>
  </si>
  <si>
    <t>Vente Littérature 10/01 Dimanche Matin</t>
  </si>
  <si>
    <t>Vente Littérature 10/01 Vivement Dimanche</t>
  </si>
  <si>
    <t>Vente Littérature 08/01 Jardins du Samedi</t>
  </si>
  <si>
    <t>Vente Littérature 12/01 Montreuil</t>
  </si>
  <si>
    <t>NDF Camile Entretien 10/01</t>
  </si>
  <si>
    <t>Facture Jean Michel Office Dépôt</t>
  </si>
  <si>
    <t>Transfert Caisse 16/01/2022 Christian</t>
  </si>
  <si>
    <t>Evolution Informatique et bureautique</t>
  </si>
  <si>
    <t>Fournitures Jérome pour entretien courant du local-Produit d'hygiène</t>
  </si>
  <si>
    <t>Frais d'évolution Wix , réseau et Bureautique</t>
  </si>
  <si>
    <t>Travaux de réparation Local Sauton</t>
  </si>
  <si>
    <t xml:space="preserve">134 Eur / mois </t>
  </si>
  <si>
    <t>8.861 Eur couvre les frais annuels de fonctionnement de l'IGPB</t>
  </si>
  <si>
    <t>Plus disponible pour le moment</t>
  </si>
  <si>
    <t>Contributions réparties à part égale entre RPIM et IDF</t>
  </si>
  <si>
    <t>8500 + 4*150 (Liste réunions)</t>
  </si>
  <si>
    <t>8500 Eur + 355 Eur * 4  (Liste réunions)</t>
  </si>
  <si>
    <t>Dépenses 2021 non prévue en 2002</t>
  </si>
  <si>
    <t xml:space="preserve">Archivage, Kit 5ème Tradition </t>
  </si>
  <si>
    <t>Travaux Local Sauton</t>
  </si>
  <si>
    <t>Abt Bouygues 172,80 Eur, Free 29,99 Eur, Zoom 16,79 Eur , Leasecom 60 Eur, WIX 312 Eur, 2*Pack Licences Office 365 198 Eur</t>
  </si>
  <si>
    <t>Contribution Tournan</t>
  </si>
  <si>
    <t>Contribution St Antoine</t>
  </si>
  <si>
    <t>Contribution Italie</t>
  </si>
  <si>
    <t>Loyer trimestriel=1450 Eur , Assurance 590 Eur, charge 410 Eur</t>
  </si>
  <si>
    <t>Vente Littérature 14/01 Denfert</t>
  </si>
  <si>
    <t>Vente Littérature 14/01 Daumesnil</t>
  </si>
  <si>
    <t>Vente Littérature 14/01 Partages</t>
  </si>
  <si>
    <t>Vente Littérature 21/01 Personnel</t>
  </si>
  <si>
    <t>Vente Littérature 21/01 Acqueduc</t>
  </si>
  <si>
    <t>Vente Littérature 21/01 Jardins du Samedi</t>
  </si>
  <si>
    <t>Vente Littérature 21/01 Carrefour 15</t>
  </si>
  <si>
    <t>Vente Littérature 21/01 St Cloud</t>
  </si>
  <si>
    <t>Vente Littérature 26/01 Les Lilas</t>
  </si>
  <si>
    <t>Vente Littérature 26/01 LGBT+</t>
  </si>
  <si>
    <t>Prélèvement Bouygues</t>
  </si>
  <si>
    <t>Intégré sur la ligne "Achat de littérature"</t>
  </si>
  <si>
    <t>Transfert Caisse 28/01/2022 Christian</t>
  </si>
  <si>
    <t>VTC Campo Formio Sauton Littérature</t>
  </si>
  <si>
    <t>Gel, Lingettes</t>
  </si>
  <si>
    <t>Vente Littérature Individuel</t>
  </si>
  <si>
    <t>Vente Littérature Ste Anne</t>
  </si>
  <si>
    <t>Prélèvement Leasecom</t>
  </si>
  <si>
    <t>Commission Esprit Libre BNP : 11,44 Eur / mois</t>
  </si>
  <si>
    <t>Achat Literrature BSG FC2022/01/84</t>
  </si>
  <si>
    <t>Literrature 04/02 Tenon</t>
  </si>
  <si>
    <t>Literrature 04/02 Particulier</t>
  </si>
  <si>
    <t>Literrature 04/02 Boulogne</t>
  </si>
  <si>
    <t>Literrature 04/02 24h</t>
  </si>
  <si>
    <t>Literrature 04/02 Champigny</t>
  </si>
  <si>
    <t>Literrature 04/02 Danfer</t>
  </si>
  <si>
    <t>Literrature 04/02 Sevres</t>
  </si>
  <si>
    <t>Literrature 04/02 Bremond</t>
  </si>
  <si>
    <t>Literrature 04/02 Ternes</t>
  </si>
  <si>
    <t>Literrature 04/02 Savigny</t>
  </si>
  <si>
    <t>Literrature 04/02 Nation</t>
  </si>
  <si>
    <t>Literrature 04/02 Enghien</t>
  </si>
  <si>
    <t>Literrature 04/02 Neuilly</t>
  </si>
  <si>
    <t>Contribution Vivement Dimanche</t>
  </si>
  <si>
    <t>Contribution Salpétrière</t>
  </si>
  <si>
    <t>Contribution Creteil  Village</t>
  </si>
  <si>
    <t>Achat Literrature BSG FC2022/02/116</t>
  </si>
  <si>
    <t>Transfert Caisse 10/02/2022 Christian</t>
  </si>
  <si>
    <t>Factures Entretien Camille 05/02/2022</t>
  </si>
  <si>
    <t>Factures Photocopie Camille 10/02/2022</t>
  </si>
  <si>
    <t>Literrature 11/02 Danfert</t>
  </si>
  <si>
    <t>Literrature 11/02 Individuel</t>
  </si>
  <si>
    <t>Literrature 11/02 Violet Vaugirard</t>
  </si>
  <si>
    <t>Literrature 11/02 St Sulplice</t>
  </si>
  <si>
    <t>Literrature 11/02 Trois Héritages</t>
  </si>
  <si>
    <t>Literrature 11/02 Jardin du Samedi</t>
  </si>
  <si>
    <t>Literrature 11/02 Torcy</t>
  </si>
  <si>
    <t>Literrature 11/02 Tournan</t>
  </si>
  <si>
    <t>Literrature 11/02 Bayard</t>
  </si>
  <si>
    <t>Literrature 11/02 St Germain</t>
  </si>
  <si>
    <t>Literrature 11/02 Salpétrière</t>
  </si>
  <si>
    <t>Contribution St Anne</t>
  </si>
  <si>
    <t>Contribution Savigny / Orge</t>
  </si>
  <si>
    <t>Facture Office Depot 0022204300724</t>
  </si>
  <si>
    <t>Facture Office Depot 0032204300396</t>
  </si>
  <si>
    <t>Photocopies Facture Copyself Jean Michel</t>
  </si>
  <si>
    <t>Edition Pour Cahier Permanence Camille</t>
  </si>
  <si>
    <t>Produit Entretien Permanence Camille</t>
  </si>
  <si>
    <t>Fournitures de bureau, type ramette, tuner, accessoire de rangement, classeurs permanences</t>
  </si>
  <si>
    <t>&lt;</t>
  </si>
  <si>
    <t>Contribution Les Halles</t>
  </si>
  <si>
    <t>Literrature 12/02 Plaisance</t>
  </si>
  <si>
    <t>Literrature 19/02 Alexandre Dumas</t>
  </si>
  <si>
    <t>Literrature 19/02 Madeleine</t>
  </si>
  <si>
    <t>Literrature 19/02 Invalides</t>
  </si>
  <si>
    <t>Leroy Merlin Petite réparation</t>
  </si>
  <si>
    <t>Fournitures Gibert Pochette Stickers</t>
  </si>
  <si>
    <t>Fournitures Gibert Stickers Chif 10</t>
  </si>
  <si>
    <t>Copyself Photocopie</t>
  </si>
  <si>
    <t>Abonnement Annuel Zoom -&gt; 15 Fev 2023 Christian</t>
  </si>
  <si>
    <t xml:space="preserve">Bureau Vallée Porte Vues </t>
  </si>
  <si>
    <t>Facture EDF</t>
  </si>
  <si>
    <t>Contribution Rive Gauche</t>
  </si>
  <si>
    <t>Literrature Kim</t>
  </si>
  <si>
    <t>Literrature Particulier</t>
  </si>
  <si>
    <t>Literrature St Antoine</t>
  </si>
  <si>
    <t>Literrature Sérénité</t>
  </si>
  <si>
    <t>Literrature Champigny</t>
  </si>
  <si>
    <t>Literrature Acqueduc</t>
  </si>
  <si>
    <t>Produit Entretien Produit</t>
  </si>
  <si>
    <t>Contribution Victoire</t>
  </si>
  <si>
    <t>Contribution Victoires</t>
  </si>
  <si>
    <t>Literrature Le Vesinet</t>
  </si>
  <si>
    <t>Literrature Partages</t>
  </si>
  <si>
    <t>29/02/2022</t>
  </si>
  <si>
    <t>Contribution 8-18</t>
  </si>
  <si>
    <t>Chapeau Réunion RI du 02 Février</t>
  </si>
  <si>
    <t>Chapeau Réunion RI du 02 Mars</t>
  </si>
  <si>
    <t>Facture feuille Permanence Icare Print</t>
  </si>
  <si>
    <t>Facture Paillason GIFI</t>
  </si>
  <si>
    <t>Literrature 04/03 Acqueduc</t>
  </si>
  <si>
    <t>Literrature 04/03 Individuel</t>
  </si>
  <si>
    <t>Literrature 04/03 Montreuil</t>
  </si>
  <si>
    <t>Literrature 04/03 Créteil</t>
  </si>
  <si>
    <t>Literrature 04/03 Dimanche Matin</t>
  </si>
  <si>
    <t>Literrature 04/03 St Sulplice</t>
  </si>
  <si>
    <t>Literrature 04/03 Bastille Nation</t>
  </si>
  <si>
    <t>Literrature 04/03 Versailles l'hermitage</t>
  </si>
  <si>
    <t>Contribution Aulnay</t>
  </si>
  <si>
    <t>Contribution Nogent</t>
  </si>
  <si>
    <t>Contribution St Maur</t>
  </si>
  <si>
    <t>Literrature 05/03 Individuel</t>
  </si>
  <si>
    <t>Literrature 05/03 Tenon</t>
  </si>
  <si>
    <t>Literrature 05/03 Jardins du Samedi</t>
  </si>
  <si>
    <t>Contribution Boulogne</t>
  </si>
  <si>
    <t>Contribution Plaisance</t>
  </si>
  <si>
    <t>Contribution English Speaking IG</t>
  </si>
  <si>
    <t>Contribution Pitié Salpétrière</t>
  </si>
  <si>
    <t>Contribution Aqueduc</t>
  </si>
  <si>
    <t>Achat Literrature BSG FC2022/03/168</t>
  </si>
  <si>
    <t>Achat Literrature BSG FC2022/03/182</t>
  </si>
  <si>
    <t>Contribution Aulnay (chq)</t>
  </si>
  <si>
    <t>Contribution Nogent (chq)</t>
  </si>
  <si>
    <t>Transfert Caisse 11/03/2022 Christian T</t>
  </si>
  <si>
    <t>Contribution Saint Denis</t>
  </si>
  <si>
    <t>Contribution Mangopay</t>
  </si>
  <si>
    <t>Contribution Hôpital Tenon</t>
  </si>
  <si>
    <t>Literrature 09/03 Individuel</t>
  </si>
  <si>
    <t>Literrature 11/03 Individuel</t>
  </si>
  <si>
    <t>Literrature 08/03 Bayard</t>
  </si>
  <si>
    <t>Literrature 08/03 Montreuil</t>
  </si>
  <si>
    <t>Literrature 11/03 Groupe Isolé</t>
  </si>
  <si>
    <t>Contribution l'Ermitage</t>
  </si>
  <si>
    <t>UnitedPrint 2500 liste réu 6558197-1</t>
  </si>
  <si>
    <t>Contribution Savigny</t>
  </si>
  <si>
    <t>Contribution Saint Germain des près</t>
  </si>
  <si>
    <t>Literrature 12/03 St Maur</t>
  </si>
  <si>
    <t>Literrature 18/03 Nogent</t>
  </si>
  <si>
    <t>Literrature 18/03 Italie</t>
  </si>
  <si>
    <t>Literrature 18/03 Bureau Justice</t>
  </si>
  <si>
    <t>Literrature 18/03 Individuel</t>
  </si>
  <si>
    <t>Literrature 18/03 Saint Germain des près</t>
  </si>
  <si>
    <t>Literrature 19/03 Renouveau</t>
  </si>
  <si>
    <t>Literrature 19/03 Partage</t>
  </si>
  <si>
    <t>Literrature 25/03 Danfert</t>
  </si>
  <si>
    <t>Literrature 25/03 Ste Ane</t>
  </si>
  <si>
    <t>Literrature 25/03 Ermitage</t>
  </si>
  <si>
    <t>Literrature 25/03 Individuelle</t>
  </si>
  <si>
    <t>Literrature 25/03 Nation</t>
  </si>
  <si>
    <t>Transfert Caisse 26/03/2022 Christian T</t>
  </si>
  <si>
    <t>Contribution Les Halles de Beville</t>
  </si>
  <si>
    <t>Loyer T2 2022</t>
  </si>
  <si>
    <t>Achat Literrature BSG FC2022/03/214</t>
  </si>
  <si>
    <t>Contribution Montreuil</t>
  </si>
  <si>
    <t>Contribution Un Vendredi à St Mandé</t>
  </si>
  <si>
    <t>TOTAL+Delta Littérature</t>
  </si>
  <si>
    <t>Contribution Bastille Nation</t>
  </si>
  <si>
    <t>Transfert Caisse 28/02/2022 Christian</t>
  </si>
  <si>
    <t>Contribution Les Lilas</t>
  </si>
  <si>
    <t>Literrature 26/03 Dimanche Matin</t>
  </si>
  <si>
    <t>Literrature 26/03 Individuel</t>
  </si>
  <si>
    <t>Literrature 01/04 Jardin du Samedi</t>
  </si>
  <si>
    <t>Contribution Montsouris</t>
  </si>
  <si>
    <t>Contribution Jardins du Samedi</t>
  </si>
  <si>
    <t>Contribution Jardin du Samedi</t>
  </si>
  <si>
    <t>Contribution 8 / 18</t>
  </si>
  <si>
    <t>Contribution Carrefour XV</t>
  </si>
  <si>
    <t>Contribution LGBT +</t>
  </si>
  <si>
    <t>Chapeau Réunion RI du 06 Avril</t>
  </si>
  <si>
    <t>Literrature 02/04 Partages</t>
  </si>
  <si>
    <t>Literrature 02/04 St Denis</t>
  </si>
  <si>
    <t>Literrature 08/04 La Salpétrière</t>
  </si>
  <si>
    <t>Literrature 08/04 Violet Vaugirard</t>
  </si>
  <si>
    <t>Literrature 08/04 Acqueduc</t>
  </si>
  <si>
    <t>Literrature 08/04 Vivement Dimanche</t>
  </si>
  <si>
    <t>Contribution Ternes</t>
  </si>
  <si>
    <t>Literrature 09/04 Ternes</t>
  </si>
  <si>
    <t>Literrature 09/04 Jardins du Samedi</t>
  </si>
  <si>
    <t>Literrature 09/04 Dimanche Matin</t>
  </si>
  <si>
    <t>Literrature 09/04 Bureau Santé PIM</t>
  </si>
  <si>
    <t xml:space="preserve">Literrature 09/04 Particulier </t>
  </si>
  <si>
    <t>Literrature 08/04 Info Publique IDF</t>
  </si>
  <si>
    <t>Literrature 11/04 Particulier</t>
  </si>
  <si>
    <t>Literrature 12/04 Bayard</t>
  </si>
  <si>
    <t>Literrature 12/04 Groupe 8/18</t>
  </si>
  <si>
    <t>Literrature 15/04 Tenon</t>
  </si>
  <si>
    <t>Literrature 16/04 Acqueduc</t>
  </si>
  <si>
    <t>Literrature 16/04 Partages</t>
  </si>
  <si>
    <t>Literrature 15/04 Créteil Village</t>
  </si>
  <si>
    <t>Achat Literrature BSG FC2022/04/263</t>
  </si>
  <si>
    <t>Transfert Caisse 16/04/2022 Christian T</t>
  </si>
  <si>
    <t>Literrature 08/04 Champigny</t>
  </si>
  <si>
    <t>Contribution Denfert</t>
  </si>
  <si>
    <t>Facture EDF 22/04</t>
  </si>
  <si>
    <t>Literrature 22/04 Cochin</t>
  </si>
  <si>
    <t>Literrature 22/04 St Antoine</t>
  </si>
  <si>
    <t>Literrature 22/04 Boilogne</t>
  </si>
  <si>
    <t>Contribution Les mardis de Corvisart</t>
  </si>
  <si>
    <t>Contribution Tenon</t>
  </si>
  <si>
    <t>Achat Literrature BSG FC2022/04/268</t>
  </si>
  <si>
    <t>Literrature 29/04 Denfert</t>
  </si>
  <si>
    <t>Literrature 29/04 Vivemment Dimanche</t>
  </si>
  <si>
    <t>Literrature 29/04 St Sulpice</t>
  </si>
  <si>
    <t>Literrature 29/04 3 Héritages</t>
  </si>
  <si>
    <t>Literrature 29/04 Les mardis de Corvisart</t>
  </si>
  <si>
    <t>Literrature 29/04 Ste Anne</t>
  </si>
  <si>
    <t>Contribution Ste Anne</t>
  </si>
  <si>
    <t>Transfert Caisse 30/04/2022 Christian T</t>
  </si>
  <si>
    <t>Contribution 24 Heures</t>
  </si>
  <si>
    <t>Achat Fournitures Litteratures Gel</t>
  </si>
  <si>
    <t>Achat Fournitures Papier Toilette</t>
  </si>
  <si>
    <t>Contribution Groupe 8/18</t>
  </si>
  <si>
    <t>Facture ICARE Print Camille</t>
  </si>
  <si>
    <t>TOTAL TRESORERIE=</t>
  </si>
  <si>
    <t>TOTAL TRESORERIE + Delta Litérrature =</t>
  </si>
  <si>
    <t>Littérature 06/05 Sérénité</t>
  </si>
  <si>
    <t>Littérature 06/05 Particulier</t>
  </si>
  <si>
    <t>Littérature 06/05 Aqueduc</t>
  </si>
  <si>
    <t>Littérature 06/05 Trois héritages</t>
  </si>
  <si>
    <t>Littérature 06/05 Montreuil</t>
  </si>
  <si>
    <t>Littérature 06/05 Boulogne</t>
  </si>
  <si>
    <t>Contribution La Défense</t>
  </si>
  <si>
    <t>Contribution St Denis</t>
  </si>
  <si>
    <t>Stock Lttérature</t>
  </si>
  <si>
    <t>Budget 2022</t>
  </si>
  <si>
    <t>Littérature Région IDF</t>
  </si>
  <si>
    <t>Achat Fournitures Litteratures Gobelets</t>
  </si>
  <si>
    <t>Littérature 13/05 3 Héritages</t>
  </si>
  <si>
    <t>Littérature 13/05 Région IDF</t>
  </si>
  <si>
    <t>Littérature 13/05 Daumesnil</t>
  </si>
  <si>
    <t>Littérature 13/05 Denfert</t>
  </si>
  <si>
    <t>Littérature 13/05 Particulier</t>
  </si>
  <si>
    <t>Littérature 13/05 Champigny</t>
  </si>
  <si>
    <t>Littérature 13/05 Bastille Nation</t>
  </si>
  <si>
    <t>Littérature 13/05 Victoire</t>
  </si>
  <si>
    <t>Transfert Caisse 13/05/2022 Christian T</t>
  </si>
  <si>
    <t>Contribution Créteil</t>
  </si>
  <si>
    <t>Prévisions Budget Mois</t>
  </si>
  <si>
    <t>Contribution Torcy</t>
  </si>
  <si>
    <t>Contribution Halles de Belleville</t>
  </si>
  <si>
    <t>Achat Bloc 800 Feuilles</t>
  </si>
  <si>
    <t>Achat Gobelet Cartion</t>
  </si>
  <si>
    <t>Contribution PETTELOT Micheline (Vitry)</t>
  </si>
  <si>
    <t>Copies Icare Print 300 Ex NB</t>
  </si>
  <si>
    <t>Littérature 16/05 Particulier</t>
  </si>
  <si>
    <t>Littérature 18/05 Pompe</t>
  </si>
  <si>
    <t>Littérature 18/05 Ste Anne</t>
  </si>
  <si>
    <t>Littérature 20/05 Jardins du Samedi</t>
  </si>
  <si>
    <t>Contribution Vingt Quatre Heures</t>
  </si>
  <si>
    <t>Littérature 21/05 Champigny</t>
  </si>
  <si>
    <t>Littérature 21/05 Partages</t>
  </si>
  <si>
    <t>Littérature 21/05 Renouveau</t>
  </si>
  <si>
    <t>Littérature 23/05 Les Lilas</t>
  </si>
  <si>
    <t>Littérature 23/05 Bureau Justice</t>
  </si>
  <si>
    <t>Assurence Annuelle Leasecom</t>
  </si>
  <si>
    <t xml:space="preserve">   </t>
  </si>
  <si>
    <t>Facture Cartouche Encre PERL 2022_3_3025810 (Jean Michel)</t>
  </si>
  <si>
    <t>Littérature 23/05 Rive Gauche</t>
  </si>
  <si>
    <t>Littérature 27/05 LGBT+</t>
  </si>
  <si>
    <t>Littérature 27/05 Sérénité</t>
  </si>
  <si>
    <t>Littérature 27/05 Tenon</t>
  </si>
  <si>
    <t>Contribution Sérénité</t>
  </si>
  <si>
    <t>Transfert Caisse 31/05/2022 Christian T</t>
  </si>
  <si>
    <t>Chapeau Réunion RI du 01 Juin</t>
  </si>
  <si>
    <t>Chapeau Réunion RI du 04 Mai</t>
  </si>
  <si>
    <t>Contribution AQUEDUC</t>
  </si>
  <si>
    <t>Littérature 03/06 Aqueduc</t>
  </si>
  <si>
    <t>Littérature 03/06 Vivement Dimanche</t>
  </si>
  <si>
    <t>Littérature 03/06 Créteil Village</t>
  </si>
  <si>
    <t>Littérature 03/06 Italie</t>
  </si>
  <si>
    <t>Littérature 03/06 Individuel</t>
  </si>
  <si>
    <t>Contribution Pompe</t>
  </si>
  <si>
    <t>Achat Literrature Chevilly FC2022/06/301</t>
  </si>
  <si>
    <t>Achat Literrature IGPB FC2022/06/302</t>
  </si>
  <si>
    <t>Achat Lingettes Roger</t>
  </si>
  <si>
    <t xml:space="preserve">Littérature 10/06 Ternes </t>
  </si>
  <si>
    <t>Littérature 10/06 Montsouris</t>
  </si>
  <si>
    <t>Littérature 10/06 3 Héritages</t>
  </si>
  <si>
    <t>Littérature 10/06 Bastille</t>
  </si>
  <si>
    <t>Littérature 10/06 Montreuil</t>
  </si>
  <si>
    <t>Achat Cart.Encre PapierOffice Dépôt (Serge V)</t>
  </si>
  <si>
    <t>Transfert Caisse 15/06/2022 Christian T</t>
  </si>
  <si>
    <t>UnitedPrint 2500 liste réu 5497168_PID8589491_FR</t>
  </si>
  <si>
    <t>Contribution LGBT+ Zoom</t>
  </si>
  <si>
    <t>Achat Literrature IGPB FC2022/06/337</t>
  </si>
  <si>
    <t>Littérature 19/06 Chevilly_LaRue</t>
  </si>
  <si>
    <t>Achat 25 Panneau PVC Pretexte (Serge V)</t>
  </si>
  <si>
    <t>Contribution Villeparisis</t>
  </si>
  <si>
    <t>Facture EDF 22/06</t>
  </si>
  <si>
    <t>Littérature 15/06 Courbevoie</t>
  </si>
  <si>
    <t>Littérature 17/06 Batignoles</t>
  </si>
  <si>
    <t>Littérature 24/06 St Germain</t>
  </si>
  <si>
    <t>Littérature 24/06 Italie</t>
  </si>
  <si>
    <t>Littérature 24/06 Aqueduc &amp; District Est</t>
  </si>
  <si>
    <t>Littérature 24/06 Alexandre Dumas</t>
  </si>
  <si>
    <t>Loyer T3 2022</t>
  </si>
  <si>
    <t>Contribution Les Mardis de Corvisart</t>
  </si>
  <si>
    <t>Icare_Print Photocopies Littérature</t>
  </si>
  <si>
    <t>Transfert Caisse 05/07/2022 Christian T</t>
  </si>
  <si>
    <t>Chapeau Réunion RI du 06 Juillet</t>
  </si>
  <si>
    <t>Littérature 08/07 Jardins du Samedi</t>
  </si>
  <si>
    <t>Littérature 02/07 Ternes</t>
  </si>
  <si>
    <t>Littérature 02/07 Jardins du Samedi</t>
  </si>
  <si>
    <t>Littérature 02/07 Bureau Santé</t>
  </si>
  <si>
    <t>Littérature 02/07 Partages</t>
  </si>
  <si>
    <t>Littérature 08/07 Hôpital Tenon</t>
  </si>
  <si>
    <t>Littérature 08/07 Hôpital Carrefour XV</t>
  </si>
  <si>
    <t>Littérature 08/07 Vivement Dimanche</t>
  </si>
  <si>
    <t>Littérature 08/07 Denfert</t>
  </si>
  <si>
    <t>Littérature 08/07  Carrefour XV</t>
  </si>
  <si>
    <t>Contribution Hoptal Tenon</t>
  </si>
  <si>
    <t>Littérature 09/07 Jardins du Samedi</t>
  </si>
  <si>
    <t>Littérature 09/07 Personnel</t>
  </si>
  <si>
    <t>Littérature 12/07 Montreuil</t>
  </si>
  <si>
    <t>Littérature 15/07 Aqueduc</t>
  </si>
  <si>
    <t>Littérature 15/07 Particulier</t>
  </si>
  <si>
    <t>Littérature 15/07 Savigny / Orge</t>
  </si>
  <si>
    <t>Littérature 15/07 Bourg La Reine</t>
  </si>
  <si>
    <t>Littérature 15/07 Jardins du Samedi</t>
  </si>
  <si>
    <t>Achat Fournitures Littérature</t>
  </si>
  <si>
    <t>Achat Entretien Devanture / Led</t>
  </si>
  <si>
    <t>Achat Literrature IGPB FC2022/07/378</t>
  </si>
  <si>
    <t>Réévaluation au 16/07/2022</t>
  </si>
  <si>
    <t>En Moins : -639,51 €</t>
  </si>
  <si>
    <t>Contribution LGBT+</t>
  </si>
  <si>
    <t>Littérature 22/07 Aqueduc</t>
  </si>
  <si>
    <t>Littérature 22/07 Champgny</t>
  </si>
  <si>
    <t>Littérature 22/07 Les Jardins du Samedi</t>
  </si>
  <si>
    <t>Littérature 22/07 Personnel</t>
  </si>
  <si>
    <t>Achat Gel / Lngettes Roger</t>
  </si>
  <si>
    <t>Contribution Vaugirard Violet</t>
  </si>
  <si>
    <t>Contribution Champigny / Marne</t>
  </si>
  <si>
    <t xml:space="preserve">Contribution Champigny / Marne </t>
  </si>
  <si>
    <t>Littérature 29/07 La Défense</t>
  </si>
  <si>
    <t>Littérature 29/07 Personnel</t>
  </si>
  <si>
    <t>Littérature 29/07 Vivement Dimanche</t>
  </si>
  <si>
    <t>Littérature 29/07 Les Halles de Belleville</t>
  </si>
  <si>
    <t>Littérature 29/07 Les Lilas</t>
  </si>
  <si>
    <t>Littérature 29/07 Bourg La Reine</t>
  </si>
  <si>
    <t>Littérature 29/07 Montsouris</t>
  </si>
  <si>
    <t>Littérature 29/07 Denfert</t>
  </si>
  <si>
    <t>Littérature 29/07 Bastille Nation</t>
  </si>
  <si>
    <t>Littérature 29/07 Dimanche Matin</t>
  </si>
  <si>
    <t>Littérature 30/07 St Maur</t>
  </si>
  <si>
    <t>Entretien Remplacement Poubelle</t>
  </si>
  <si>
    <t>Entretien Répulsif anti chiens</t>
  </si>
  <si>
    <t>Transfert Caisse 31/07/2022 Christian T</t>
  </si>
  <si>
    <t>Contribution Courbevoie - Becon</t>
  </si>
  <si>
    <t>Littérature 05/08 Particulier</t>
  </si>
  <si>
    <t>Littérature 05/08 Ermitage</t>
  </si>
  <si>
    <t>Littérature 05/08 Vivement Dimanche</t>
  </si>
  <si>
    <t>Littérature 05/08 Saint Antoine</t>
  </si>
  <si>
    <t>Littérature 05/08 Tenon</t>
  </si>
  <si>
    <t>Littérature 05/08 Italie</t>
  </si>
  <si>
    <t>Achat Gobelets</t>
  </si>
  <si>
    <t>Achat Gel Essuis tout</t>
  </si>
  <si>
    <t>Littérature 12/08 Rive Gauche</t>
  </si>
  <si>
    <t>Littérature 12/08 Bourg-La-Reine</t>
  </si>
  <si>
    <t>Littérature 12/08 Creteil Village</t>
  </si>
  <si>
    <t>Littérature 12/08 St Germain des Prés</t>
  </si>
  <si>
    <t>Littérature 12/08 Personnel</t>
  </si>
  <si>
    <t>Littérature 19/08 Aqueduc</t>
  </si>
  <si>
    <t>Littérature 19/08 Nogent</t>
  </si>
  <si>
    <t>Littérature 19/08 Ternes</t>
  </si>
  <si>
    <t>Electricité EDF</t>
  </si>
  <si>
    <t>Transfert Caisse 20/08/2022 Christian T</t>
  </si>
  <si>
    <t>Contribution Ermitage</t>
  </si>
  <si>
    <t>Contribution Serris</t>
  </si>
  <si>
    <t>Facture Office Dépôt Annuaire Perm</t>
  </si>
  <si>
    <t>Facture Bureau Vallee Annuaire Perm</t>
  </si>
  <si>
    <t>Contribution Cochin</t>
  </si>
  <si>
    <t xml:space="preserve">Achat Gobelets Littérature </t>
  </si>
  <si>
    <t>Littérature 26/08 Sérénité</t>
  </si>
  <si>
    <t>Littérature 31/08 Jardins du Samedi</t>
  </si>
  <si>
    <t>Littérature 26/08 Aqueduc</t>
  </si>
  <si>
    <t>Littérature 26/08 Montreuil</t>
  </si>
  <si>
    <t>Transfert Caisse 31/08/2022 Christian T</t>
  </si>
  <si>
    <t>SUIVI MENSUEL LITTERATURE 2022</t>
  </si>
  <si>
    <t>IGPB BUDGET PREVISIONNEL DE TRESORERIE 2022</t>
  </si>
  <si>
    <t>Chapeau Réunion RI du 07 Septembre</t>
  </si>
  <si>
    <t>Contribution Bourg la Reine</t>
  </si>
  <si>
    <t>Facture Bureau Vallee Papier Encre Imprimante</t>
  </si>
  <si>
    <t>Achat Literrature IGPB FC2022/09/469</t>
  </si>
  <si>
    <t>Achat Enveloppe Kraft Bureau Vallée</t>
  </si>
  <si>
    <t>Vente Littérature 02/09 Créteil Village</t>
  </si>
  <si>
    <t>Vente Littérature 02/09 Violet Vaugirard</t>
  </si>
  <si>
    <t>Vente Littérature 02/09 Batignole</t>
  </si>
  <si>
    <t>Vente Littérature 03/09 Jardins du Samedi</t>
  </si>
  <si>
    <t>Vente Littérature 09/09 Montreuil</t>
  </si>
  <si>
    <t>Vente Littérature 09/09 Versailles</t>
  </si>
  <si>
    <t>Vente Littérature 09/09 Vivement Dimanche</t>
  </si>
  <si>
    <t>Vente Littérature 09/09 3 Héritages</t>
  </si>
  <si>
    <t xml:space="preserve">Vente Littérature 10/09 St Maur </t>
  </si>
  <si>
    <t>Vente Littérature 10/09 Bastille Nation</t>
  </si>
  <si>
    <t>Achat Literrature IGPB FC2022/09/489</t>
  </si>
  <si>
    <t>Photocopies Méthode pour Literrature (Camille)</t>
  </si>
  <si>
    <t>Achat Literrature FC2022/07/442 (Reliquat Chevilly)</t>
  </si>
  <si>
    <t>UnitedPrint24 liste réunions commande 7422631 (Jean Michel)</t>
  </si>
  <si>
    <t>Vente Littérature 16/09 Les Halles de Belleville</t>
  </si>
  <si>
    <t>Vente Littérature 16/09 Carrefour 15</t>
  </si>
  <si>
    <t>Vente Littérature 16/09 Personnel</t>
  </si>
  <si>
    <t>Vente Littérature 16/09 St Sulpice</t>
  </si>
  <si>
    <t>Vente Littérature 16/09 Printemps</t>
  </si>
  <si>
    <t>Vente Littérature 16/09 Bayard</t>
  </si>
  <si>
    <t>Vente Littérature 17/09 Bureau Justice</t>
  </si>
  <si>
    <t>Vente Littérature 17/09 Sainte Anne</t>
  </si>
  <si>
    <t>Vente Littérature 17/09 Personnel</t>
  </si>
  <si>
    <t>Vente Littérature 17/09 Plaisance</t>
  </si>
  <si>
    <t>Contribution Hopital Tenon</t>
  </si>
  <si>
    <t>Transfert Caisse 20/09/2022 Christian T</t>
  </si>
  <si>
    <t>Contribution LGBT</t>
  </si>
  <si>
    <t>Achat Literrature IGPB FC2022/09/527</t>
  </si>
  <si>
    <t>Vente Littérature 24/09 Ternes</t>
  </si>
  <si>
    <t>Vente Littérature 24/09 Torcy</t>
  </si>
  <si>
    <t>Vente Littérature 24/09 Tournan En Brie</t>
  </si>
  <si>
    <t>Vente Littérature 24/09 Partages</t>
  </si>
  <si>
    <t>Vente Littérature 23/09 Montreuil</t>
  </si>
  <si>
    <t>Vente Littérature 23/09 Aqueduc</t>
  </si>
  <si>
    <t>Vente Littérature 23/09 Corvisart</t>
  </si>
  <si>
    <t>Vente Littérature 23/09 St Antoine</t>
  </si>
  <si>
    <t>Vente Littérature 23/09 Dimanche Matin</t>
  </si>
  <si>
    <t>Vente Littérature 23/09 Les Lilas</t>
  </si>
  <si>
    <t>Vente Littérature 26/09 Montsouris</t>
  </si>
  <si>
    <t>Vente Littérature 30/09 Jardins du Samedi</t>
  </si>
  <si>
    <t>Vente Littérature 30/09 Salpétrieres</t>
  </si>
  <si>
    <t>Vente Littérature 30/09 Dimanche Matin</t>
  </si>
  <si>
    <t>Vente Littérature 30/09 Vivement Dimanche</t>
  </si>
  <si>
    <t>Vente Littérature 30/09 Montreuil</t>
  </si>
  <si>
    <t xml:space="preserve">Vente Littérature 30/09 Les Lilas </t>
  </si>
  <si>
    <t>Achat Porte Manteaux (Jerôme)</t>
  </si>
  <si>
    <t>Achat 3 Kreacove Semi Rigide (Serge)</t>
  </si>
  <si>
    <t>Achat Literrature IGPB FC2022/09/529</t>
  </si>
  <si>
    <t>Achat Literrature IGPB FC2022/09/532</t>
  </si>
  <si>
    <t>Loyer T4 2022</t>
  </si>
  <si>
    <t>Groupe</t>
  </si>
  <si>
    <t>Contribution Champigny Sur Marne</t>
  </si>
  <si>
    <t>Contribution Un Vendredi &amp; St Mandé</t>
  </si>
  <si>
    <t>Contribution 8/18</t>
  </si>
  <si>
    <t>Facture Elastiques Office Dépôt</t>
  </si>
  <si>
    <t>Vente Littérature 01/10 Bureau Santé RPIM</t>
  </si>
  <si>
    <t>Vente Littérature 01/10 Partages</t>
  </si>
  <si>
    <t>Vente Littérature 07/10 Créteil</t>
  </si>
  <si>
    <t>Vente Littérature 07/10 Corvisart</t>
  </si>
  <si>
    <t>Vente Littérature 07/10 Personnel</t>
  </si>
  <si>
    <t>Vente Littérature 08/10 Ternes</t>
  </si>
  <si>
    <t>Vente Littérature 08/10 St Denis</t>
  </si>
  <si>
    <t>Vente Littérature 08/10 Jardins du Samedi</t>
  </si>
  <si>
    <t>Chapeau Réunion RI du 05 Octobre</t>
  </si>
  <si>
    <t>Contribution Daumesnil</t>
  </si>
  <si>
    <t>Vente Littérature 14/10 Violet Vaugirard</t>
  </si>
  <si>
    <t>Vente Littérature 14/10 Italie</t>
  </si>
  <si>
    <t>Vente Littérature 14/10 Personnel</t>
  </si>
  <si>
    <t>Vente Littérature 14/10 Hopital Tenon</t>
  </si>
  <si>
    <t>Vente Littérature 15/10 Montreuil</t>
  </si>
  <si>
    <t>Vente Littérature 15/10 Daumesnil</t>
  </si>
  <si>
    <t>Glass Lab Vitre Porte Cour</t>
  </si>
  <si>
    <t>Location Salle Réunion RI Dec 2021 à Juin 2022 (chq)</t>
  </si>
  <si>
    <t>Assurance Allianz 01/11/2022 à 31/10/2023 Ct 62471972 (chq)</t>
  </si>
  <si>
    <t>Vente Littérature 21/10 Cochin</t>
  </si>
  <si>
    <t>Vente Littérature 21/10 8/18</t>
  </si>
  <si>
    <t>Vente Littérature 21/10 3 Héritages</t>
  </si>
  <si>
    <t>Vente Littérature 21/10 Personnel</t>
  </si>
  <si>
    <t>Vente Littérature 21/10 Jardins du Samedi</t>
  </si>
  <si>
    <t>Vente Littérature 21/10 Tenon</t>
  </si>
  <si>
    <t>Vente Littérature 22/10 Personnel</t>
  </si>
  <si>
    <t>Vente Littérature 28/10 Personnel</t>
  </si>
  <si>
    <t>Vente Littérature 28/10 St Sulpice</t>
  </si>
  <si>
    <t>Vente Littérature 28/10 Aqueduc</t>
  </si>
  <si>
    <t>Vente Littérature 28/10 Bourg La Reine</t>
  </si>
  <si>
    <t>Vente Littérature 28/10 Hopital Tenon</t>
  </si>
  <si>
    <t>Vente Littérature 29/10 Bastille / Nation</t>
  </si>
  <si>
    <t>Vente Littérature 29/10 Sérénité</t>
  </si>
  <si>
    <t>Achat Fournitures Entretien</t>
  </si>
  <si>
    <t>Transfert Caisse 30/10/2022 Christian T</t>
  </si>
  <si>
    <t>Contribution Groupe 24h</t>
  </si>
  <si>
    <t>Contribution Violet Vaugirard</t>
  </si>
  <si>
    <t>Facture Vitre Pose 888.10.22 sergevandierdonckentreprise</t>
  </si>
  <si>
    <t>Chapeau Réunion RI du 02 Novembre (Elective)</t>
  </si>
  <si>
    <t>Versement Contribution à RPIM</t>
  </si>
  <si>
    <t>Versement Contribution à IDF</t>
  </si>
  <si>
    <t>Vente Littérature 04/11 Hopital Ternes</t>
  </si>
  <si>
    <t>Vente Littérature 04/11 St Maur</t>
  </si>
  <si>
    <t>Vente Littérature 05/11 St Mandé</t>
  </si>
  <si>
    <t>Achat Litterrature IGPB FC2022/11/596</t>
  </si>
  <si>
    <t>VTC Vitre Porte Permanence Camille</t>
  </si>
  <si>
    <t>Réévaluation du Stock Littérature au 15/07/2022</t>
  </si>
  <si>
    <t>Abonnement 1 an JSG (BSG)</t>
  </si>
  <si>
    <t>Contribution Pitié Salpétriere</t>
  </si>
  <si>
    <t>Contribution St Germain</t>
  </si>
  <si>
    <t>Achat Photocopies Littérature</t>
  </si>
  <si>
    <t>Vente Littérature 11/11 Acqueduc</t>
  </si>
  <si>
    <t>Vente Littérature 11/11 Champigny</t>
  </si>
  <si>
    <t>Vente Littérature 11/11 Salpétriere</t>
  </si>
  <si>
    <t>Vente Littérature 11/11 Nogent</t>
  </si>
  <si>
    <t>Vente Littérature 11/11 Corvisart</t>
  </si>
  <si>
    <t>Vente Littérature 11/11 Personnel</t>
  </si>
  <si>
    <t>Vente Littérature 11/11 Montreuil</t>
  </si>
  <si>
    <t>Vente Littérature 11/11 St Antoine</t>
  </si>
  <si>
    <t>Vente Littérature 11/11 Bayard</t>
  </si>
  <si>
    <t>Vente Littérature 15/11 LGBT+</t>
  </si>
  <si>
    <t>Vente Littérature 15/11 Bastille Nation</t>
  </si>
  <si>
    <t xml:space="preserve">Achat Sucre Canderel </t>
  </si>
  <si>
    <t>Vente Littérature 18/11 Sartrouville</t>
  </si>
  <si>
    <t>Vente Littérature 18/11 Villeparisis</t>
  </si>
  <si>
    <t>Vente Littérature 18/11 Personnel</t>
  </si>
  <si>
    <t>Contribution Madeleine</t>
  </si>
  <si>
    <t>Contribution Sainte Anne</t>
  </si>
  <si>
    <t>Achat Litterrature IGPB FC2022/11/629</t>
  </si>
  <si>
    <t>Vente Littérature 22/11 Personnel</t>
  </si>
  <si>
    <t>Vente Littérature 25/11 Personnel</t>
  </si>
  <si>
    <t>Vente Littérature 25/11 St Sulplice</t>
  </si>
  <si>
    <t>Vente Littérature 25/11 Cochin</t>
  </si>
  <si>
    <t>Vente Littérature 25/11 Batignole</t>
  </si>
  <si>
    <t>Vente Littérature 25/11 Vivement Dimanche</t>
  </si>
  <si>
    <t>Vente Littérature 29/11 Bayard</t>
  </si>
  <si>
    <t>Vente Littérature 29/11 Dimanche Matin</t>
  </si>
  <si>
    <t>TRESORERIE IGPB 2022 au 31/12/2022</t>
  </si>
  <si>
    <t>Le 31/12/2022</t>
  </si>
  <si>
    <t>Transfert Caisse 01/12/2022 Christian T</t>
  </si>
  <si>
    <t>Contribution Créteil Village</t>
  </si>
  <si>
    <t>Vente Littérature 11/11 Bureau Justice</t>
  </si>
  <si>
    <t>Vente Littérature 29/11 Denfert</t>
  </si>
  <si>
    <t>Vente Littérature 2/12 Montreuil</t>
  </si>
  <si>
    <t>Vente Littérature 2/12 Créteil Village</t>
  </si>
  <si>
    <t>Vente Littérature 3/12 Partages</t>
  </si>
  <si>
    <t>Vente Littérature 3/12 St Germain des Prés</t>
  </si>
  <si>
    <t>Vente Littérature 3/12 Jardin du Samedi</t>
  </si>
  <si>
    <t>Vente Littérature 3/12 Quai d'Orsay</t>
  </si>
  <si>
    <t>Chapeau Réunion RI du 07 Décembre</t>
  </si>
  <si>
    <t>Achat Litterrature IGPB FC2022/12/649 du 06/12</t>
  </si>
  <si>
    <t>Achat Litterrature IGPB FC2022/11/666 du 09/12</t>
  </si>
  <si>
    <t>VTC Achat Littérature Jean Michel</t>
  </si>
  <si>
    <t xml:space="preserve">Vente Littérature 9/12 Poissy Sartrouville </t>
  </si>
  <si>
    <t>Vente Littérature 9/12 Salpétriere</t>
  </si>
  <si>
    <t>Vente Littérature 9/12 Pompe</t>
  </si>
  <si>
    <t>Vente Littérature 9/12 Denfert</t>
  </si>
  <si>
    <t>Vente Littérature 9/12 Alexendre Dumas</t>
  </si>
  <si>
    <t>Vente Littérature 9/12 Versailles Ermitage</t>
  </si>
  <si>
    <t>Vente Littérature 9/12 Victoires</t>
  </si>
  <si>
    <t>Licence Microsoft Office 365 1 poste f48035c7-e9f0-409a-ab20-765fffb4dda8</t>
  </si>
  <si>
    <t>UnitedPrint24 liste réunions commande 5993128 (Jean Michel)</t>
  </si>
  <si>
    <t>Contribution Salpétriere</t>
  </si>
  <si>
    <t>Vente Littérature 16/12 Personnel</t>
  </si>
  <si>
    <t>Vente Littérature 16/12 Italie</t>
  </si>
  <si>
    <t>Vente Littérature 17/12 Quai d'Orsay</t>
  </si>
  <si>
    <t>Vente Littérature 17/12 Les Halles de Belleville</t>
  </si>
  <si>
    <t>Location Salle 5 Réunions RI 2T (chq)</t>
  </si>
  <si>
    <t>Vente Littérature 23/12 Champigny</t>
  </si>
  <si>
    <t>Vente Littérature 24/12 Personnel</t>
  </si>
  <si>
    <t>Vente Littérature 23/12 Aqueduc</t>
  </si>
  <si>
    <t>Vente Littérature 24/12 St Maur</t>
  </si>
  <si>
    <t>Achat Travaux Film Mirroir</t>
  </si>
  <si>
    <t>Achat Sacs Poubelles</t>
  </si>
  <si>
    <t>Virement Caisse IGPB 24 Dec 2022 Christian T</t>
  </si>
  <si>
    <t>Achat Ampoules Jerôme</t>
  </si>
  <si>
    <t>Contribution Groupe des 24 Heures</t>
  </si>
  <si>
    <t>Contribution Mardis de Corvisart</t>
  </si>
  <si>
    <t>Vente Littérature 29/12 Cochin</t>
  </si>
  <si>
    <t>Vente Littérature 29/12 Jardins du Samedi</t>
  </si>
  <si>
    <t>Vente Littérature 29/12 24 H</t>
  </si>
  <si>
    <t>Vente Littérature 30/12 Montsouris</t>
  </si>
  <si>
    <t xml:space="preserve">Achat Gobelets </t>
  </si>
  <si>
    <t>Vente Littérature 30/12 St Antoine</t>
  </si>
  <si>
    <t>Vente Littérature 30/12 Particulier</t>
  </si>
  <si>
    <t>Réévaluation au 31/12/2022</t>
  </si>
  <si>
    <t>En Moins : -517,19 €</t>
  </si>
  <si>
    <t>Réévaluation du Stock Littérature au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</si>
</sst>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\-??&quot; €&quot;_-;_-@_-"/>
    <numFmt numFmtId="166" formatCode="dddd&quot;, &quot;mmmm\ dd&quot;, &quot;yyyy"/>
    <numFmt numFmtId="167" formatCode="#,##0.00&quot; €&quot;"/>
    <numFmt numFmtId="168" formatCode="_-* #,##0.00\ _€_-;\-* #,##0.00\ _€_-;_-* \-??\ _€_-;_-@_-"/>
    <numFmt numFmtId="169" formatCode="_-* #,##0.00\ [$€-40C]_-;\-* #,##0.00\ [$€-40C]_-;_-* \-??\ [$€-40C]_-;_-@_-"/>
    <numFmt numFmtId="170" formatCode="_-* #,##0\ _€_-;\-* #,##0\ _€_-;_-* \-??\ _€_-;_-@_-"/>
    <numFmt numFmtId="171" formatCode="#,##0.00\ &quot;€&quot;"/>
    <numFmt numFmtId="172" formatCode="#,##0\ &quot;€&quot;"/>
    <numFmt numFmtId="173" formatCode="[$-40C]d\-mmm;@"/>
    <numFmt numFmtId="174" formatCode="#,##0\ _€"/>
    <numFmt numFmtId="175" formatCode="#,##0.00_ ;\-#,##0.00\ "/>
  </numFmts>
  <fonts count="43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6"/>
      <color rgb="FFFF0000"/>
      <name val="Arial"/>
      <family val="2"/>
    </font>
    <font>
      <i/>
      <sz val="16"/>
      <color rgb="FFFF0000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b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165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9" fontId="7" fillId="0" borderId="0" applyFill="0" applyBorder="0" applyAlignment="0" applyProtection="0"/>
  </cellStyleXfs>
  <cellXfs count="558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2" borderId="1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70" fontId="1" fillId="2" borderId="9" xfId="0" applyNumberFormat="1" applyFont="1" applyFill="1" applyBorder="1" applyAlignment="1">
      <alignment horizontal="center"/>
    </xf>
    <xf numFmtId="165" fontId="1" fillId="2" borderId="0" xfId="3" applyFont="1" applyFill="1" applyBorder="1" applyAlignment="1" applyProtection="1"/>
    <xf numFmtId="9" fontId="4" fillId="2" borderId="0" xfId="4" applyFont="1" applyFill="1" applyBorder="1" applyAlignment="1" applyProtection="1"/>
    <xf numFmtId="0" fontId="1" fillId="4" borderId="8" xfId="0" applyFont="1" applyFill="1" applyBorder="1" applyAlignment="1">
      <alignment horizontal="center" vertical="center" wrapText="1"/>
    </xf>
    <xf numFmtId="165" fontId="4" fillId="2" borderId="0" xfId="3" applyFont="1" applyFill="1" applyBorder="1" applyAlignment="1" applyProtection="1"/>
    <xf numFmtId="4" fontId="4" fillId="2" borderId="0" xfId="0" applyNumberFormat="1" applyFont="1" applyFill="1"/>
    <xf numFmtId="165" fontId="1" fillId="2" borderId="0" xfId="0" applyNumberFormat="1" applyFont="1" applyFill="1"/>
    <xf numFmtId="165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5" fontId="1" fillId="2" borderId="16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Protection="1">
      <protection locked="0"/>
    </xf>
    <xf numFmtId="0" fontId="5" fillId="2" borderId="1" xfId="0" applyFont="1" applyFill="1" applyBorder="1"/>
    <xf numFmtId="0" fontId="1" fillId="2" borderId="5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/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4" fontId="1" fillId="2" borderId="0" xfId="0" applyNumberFormat="1" applyFont="1" applyFill="1"/>
    <xf numFmtId="166" fontId="1" fillId="2" borderId="16" xfId="0" applyNumberFormat="1" applyFont="1" applyFill="1" applyBorder="1" applyAlignment="1">
      <alignment horizontal="center" vertical="center"/>
    </xf>
    <xf numFmtId="4" fontId="0" fillId="0" borderId="0" xfId="0" applyNumberFormat="1"/>
    <xf numFmtId="44" fontId="0" fillId="0" borderId="0" xfId="0" applyNumberFormat="1"/>
    <xf numFmtId="0" fontId="16" fillId="0" borderId="0" xfId="0" applyFont="1"/>
    <xf numFmtId="171" fontId="0" fillId="0" borderId="0" xfId="0" applyNumberFormat="1"/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/>
    </xf>
    <xf numFmtId="166" fontId="1" fillId="2" borderId="19" xfId="0" applyNumberFormat="1" applyFont="1" applyFill="1" applyBorder="1" applyAlignment="1" applyProtection="1">
      <alignment horizontal="left" vertical="center"/>
      <protection locked="0"/>
    </xf>
    <xf numFmtId="171" fontId="1" fillId="0" borderId="0" xfId="0" applyNumberFormat="1" applyFont="1"/>
    <xf numFmtId="0" fontId="1" fillId="0" borderId="19" xfId="0" applyFont="1" applyBorder="1"/>
    <xf numFmtId="172" fontId="0" fillId="0" borderId="0" xfId="0" applyNumberFormat="1"/>
    <xf numFmtId="0" fontId="32" fillId="0" borderId="0" xfId="0" applyFont="1"/>
    <xf numFmtId="0" fontId="15" fillId="0" borderId="0" xfId="0" applyFont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25" xfId="0" applyNumberFormat="1" applyBorder="1"/>
    <xf numFmtId="171" fontId="0" fillId="0" borderId="26" xfId="0" applyNumberFormat="1" applyBorder="1"/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1" fontId="0" fillId="0" borderId="29" xfId="0" applyNumberFormat="1" applyBorder="1"/>
    <xf numFmtId="171" fontId="0" fillId="0" borderId="30" xfId="0" applyNumberFormat="1" applyBorder="1"/>
    <xf numFmtId="0" fontId="6" fillId="9" borderId="27" xfId="0" applyFont="1" applyFill="1" applyBorder="1" applyAlignment="1">
      <alignment horizontal="center" vertical="center"/>
    </xf>
    <xf numFmtId="171" fontId="6" fillId="9" borderId="31" xfId="0" applyNumberFormat="1" applyFont="1" applyFill="1" applyBorder="1"/>
    <xf numFmtId="0" fontId="10" fillId="0" borderId="0" xfId="0" applyFont="1" applyAlignment="1">
      <alignment horizontal="center" vertical="center"/>
    </xf>
    <xf numFmtId="4" fontId="13" fillId="0" borderId="0" xfId="0" applyNumberFormat="1" applyFont="1"/>
    <xf numFmtId="4" fontId="10" fillId="0" borderId="0" xfId="0" applyNumberFormat="1" applyFont="1"/>
    <xf numFmtId="4" fontId="34" fillId="0" borderId="0" xfId="0" applyNumberFormat="1" applyFont="1"/>
    <xf numFmtId="44" fontId="14" fillId="0" borderId="0" xfId="0" applyNumberFormat="1" applyFont="1"/>
    <xf numFmtId="0" fontId="14" fillId="0" borderId="0" xfId="0" applyFont="1"/>
    <xf numFmtId="44" fontId="34" fillId="0" borderId="0" xfId="0" applyNumberFormat="1" applyFont="1"/>
    <xf numFmtId="0" fontId="12" fillId="0" borderId="0" xfId="0" applyFont="1"/>
    <xf numFmtId="0" fontId="35" fillId="0" borderId="0" xfId="0" applyFont="1"/>
    <xf numFmtId="0" fontId="6" fillId="0" borderId="0" xfId="0" applyFont="1" applyAlignment="1">
      <alignment horizontal="center"/>
    </xf>
    <xf numFmtId="0" fontId="6" fillId="9" borderId="31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171" fontId="3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2" borderId="36" xfId="0" applyFont="1" applyFill="1" applyBorder="1" applyAlignment="1">
      <alignment horizontal="center" vertical="center"/>
    </xf>
    <xf numFmtId="171" fontId="0" fillId="12" borderId="36" xfId="0" applyNumberFormat="1" applyFill="1" applyBorder="1"/>
    <xf numFmtId="171" fontId="6" fillId="12" borderId="36" xfId="0" applyNumberFormat="1" applyFont="1" applyFill="1" applyBorder="1"/>
    <xf numFmtId="0" fontId="6" fillId="10" borderId="36" xfId="0" applyFont="1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6" fillId="12" borderId="36" xfId="0" applyFont="1" applyFill="1" applyBorder="1" applyAlignment="1">
      <alignment horizontal="left"/>
    </xf>
    <xf numFmtId="0" fontId="23" fillId="12" borderId="36" xfId="0" quotePrefix="1" applyFont="1" applyFill="1" applyBorder="1"/>
    <xf numFmtId="0" fontId="6" fillId="12" borderId="36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12" borderId="36" xfId="0" quotePrefix="1" applyFont="1" applyFill="1" applyBorder="1"/>
    <xf numFmtId="0" fontId="6" fillId="10" borderId="34" xfId="0" applyFont="1" applyFill="1" applyBorder="1" applyAlignment="1">
      <alignment horizontal="center"/>
    </xf>
    <xf numFmtId="0" fontId="6" fillId="12" borderId="37" xfId="0" applyFont="1" applyFill="1" applyBorder="1" applyAlignment="1">
      <alignment horizontal="center" vertical="center"/>
    </xf>
    <xf numFmtId="0" fontId="6" fillId="12" borderId="38" xfId="0" applyFont="1" applyFill="1" applyBorder="1" applyAlignment="1">
      <alignment horizontal="center" vertical="center"/>
    </xf>
    <xf numFmtId="171" fontId="6" fillId="0" borderId="38" xfId="0" applyNumberFormat="1" applyFont="1" applyBorder="1"/>
    <xf numFmtId="171" fontId="0" fillId="12" borderId="38" xfId="0" applyNumberFormat="1" applyFill="1" applyBorder="1"/>
    <xf numFmtId="171" fontId="0" fillId="0" borderId="38" xfId="0" applyNumberFormat="1" applyBorder="1"/>
    <xf numFmtId="171" fontId="6" fillId="12" borderId="38" xfId="0" applyNumberFormat="1" applyFont="1" applyFill="1" applyBorder="1"/>
    <xf numFmtId="0" fontId="19" fillId="0" borderId="0" xfId="0" applyFont="1"/>
    <xf numFmtId="172" fontId="37" fillId="0" borderId="0" xfId="0" applyNumberFormat="1" applyFont="1" applyAlignment="1">
      <alignment horizontal="center"/>
    </xf>
    <xf numFmtId="171" fontId="16" fillId="0" borderId="0" xfId="0" applyNumberFormat="1" applyFont="1"/>
    <xf numFmtId="171" fontId="15" fillId="0" borderId="0" xfId="0" applyNumberFormat="1" applyFont="1"/>
    <xf numFmtId="17" fontId="17" fillId="13" borderId="27" xfId="0" applyNumberFormat="1" applyFont="1" applyFill="1" applyBorder="1" applyAlignment="1">
      <alignment horizontal="center" vertical="center" wrapText="1"/>
    </xf>
    <xf numFmtId="17" fontId="17" fillId="9" borderId="27" xfId="0" applyNumberFormat="1" applyFont="1" applyFill="1" applyBorder="1" applyAlignment="1">
      <alignment horizontal="center" vertical="center" wrapText="1"/>
    </xf>
    <xf numFmtId="0" fontId="18" fillId="13" borderId="0" xfId="0" applyFont="1" applyFill="1"/>
    <xf numFmtId="44" fontId="25" fillId="9" borderId="39" xfId="0" applyNumberFormat="1" applyFont="1" applyFill="1" applyBorder="1" applyAlignment="1">
      <alignment horizontal="center"/>
    </xf>
    <xf numFmtId="44" fontId="25" fillId="9" borderId="17" xfId="0" applyNumberFormat="1" applyFont="1" applyFill="1" applyBorder="1" applyAlignment="1">
      <alignment horizontal="center"/>
    </xf>
    <xf numFmtId="44" fontId="25" fillId="9" borderId="27" xfId="0" applyNumberFormat="1" applyFont="1" applyFill="1" applyBorder="1" applyAlignment="1">
      <alignment horizontal="center"/>
    </xf>
    <xf numFmtId="44" fontId="25" fillId="0" borderId="0" xfId="0" applyNumberFormat="1" applyFont="1" applyAlignment="1">
      <alignment horizontal="center"/>
    </xf>
    <xf numFmtId="171" fontId="25" fillId="0" borderId="27" xfId="0" applyNumberFormat="1" applyFont="1" applyBorder="1"/>
    <xf numFmtId="171" fontId="25" fillId="9" borderId="27" xfId="0" applyNumberFormat="1" applyFont="1" applyFill="1" applyBorder="1"/>
    <xf numFmtId="171" fontId="25" fillId="14" borderId="27" xfId="0" applyNumberFormat="1" applyFont="1" applyFill="1" applyBorder="1"/>
    <xf numFmtId="0" fontId="26" fillId="9" borderId="40" xfId="0" applyFont="1" applyFill="1" applyBorder="1" applyAlignment="1">
      <alignment horizontal="center" vertical="center"/>
    </xf>
    <xf numFmtId="0" fontId="27" fillId="9" borderId="27" xfId="0" applyFont="1" applyFill="1" applyBorder="1" applyAlignment="1">
      <alignment horizontal="right"/>
    </xf>
    <xf numFmtId="0" fontId="26" fillId="9" borderId="27" xfId="0" applyFont="1" applyFill="1" applyBorder="1" applyAlignment="1">
      <alignment horizontal="right"/>
    </xf>
    <xf numFmtId="0" fontId="26" fillId="14" borderId="27" xfId="0" applyFont="1" applyFill="1" applyBorder="1" applyAlignment="1">
      <alignment horizontal="right"/>
    </xf>
    <xf numFmtId="44" fontId="25" fillId="13" borderId="27" xfId="0" applyNumberFormat="1" applyFont="1" applyFill="1" applyBorder="1" applyAlignment="1">
      <alignment horizontal="center"/>
    </xf>
    <xf numFmtId="0" fontId="27" fillId="9" borderId="39" xfId="0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172" fontId="33" fillId="0" borderId="0" xfId="0" applyNumberFormat="1" applyFont="1" applyAlignment="1">
      <alignment horizontal="right"/>
    </xf>
    <xf numFmtId="172" fontId="33" fillId="0" borderId="0" xfId="0" applyNumberFormat="1" applyFont="1"/>
    <xf numFmtId="0" fontId="33" fillId="0" borderId="0" xfId="0" applyFont="1"/>
    <xf numFmtId="172" fontId="37" fillId="0" borderId="0" xfId="0" applyNumberFormat="1" applyFont="1"/>
    <xf numFmtId="172" fontId="6" fillId="0" borderId="0" xfId="0" applyNumberFormat="1" applyFont="1"/>
    <xf numFmtId="0" fontId="37" fillId="0" borderId="0" xfId="0" applyFont="1" applyAlignment="1">
      <alignment horizontal="center"/>
    </xf>
    <xf numFmtId="171" fontId="6" fillId="11" borderId="38" xfId="0" applyNumberFormat="1" applyFont="1" applyFill="1" applyBorder="1"/>
    <xf numFmtId="171" fontId="6" fillId="11" borderId="41" xfId="0" applyNumberFormat="1" applyFont="1" applyFill="1" applyBorder="1"/>
    <xf numFmtId="0" fontId="6" fillId="15" borderId="36" xfId="0" applyFont="1" applyFill="1" applyBorder="1" applyAlignment="1">
      <alignment horizontal="center"/>
    </xf>
    <xf numFmtId="0" fontId="6" fillId="15" borderId="36" xfId="0" quotePrefix="1" applyFont="1" applyFill="1" applyBorder="1" applyAlignment="1">
      <alignment horizontal="center" vertical="center"/>
    </xf>
    <xf numFmtId="0" fontId="10" fillId="16" borderId="33" xfId="0" applyFont="1" applyFill="1" applyBorder="1" applyAlignment="1">
      <alignment horizontal="center" vertical="center"/>
    </xf>
    <xf numFmtId="0" fontId="13" fillId="16" borderId="36" xfId="0" applyFont="1" applyFill="1" applyBorder="1" applyAlignment="1">
      <alignment horizontal="center" vertical="center"/>
    </xf>
    <xf numFmtId="171" fontId="6" fillId="16" borderId="36" xfId="0" applyNumberFormat="1" applyFont="1" applyFill="1" applyBorder="1"/>
    <xf numFmtId="0" fontId="6" fillId="0" borderId="0" xfId="0" applyFont="1" applyAlignment="1">
      <alignment horizontal="left"/>
    </xf>
    <xf numFmtId="0" fontId="10" fillId="12" borderId="33" xfId="0" applyFont="1" applyFill="1" applyBorder="1" applyAlignment="1">
      <alignment horizontal="center" vertical="center"/>
    </xf>
    <xf numFmtId="8" fontId="0" fillId="0" borderId="0" xfId="0" applyNumberFormat="1"/>
    <xf numFmtId="1" fontId="0" fillId="0" borderId="0" xfId="0" applyNumberFormat="1"/>
    <xf numFmtId="1" fontId="6" fillId="0" borderId="0" xfId="0" applyNumberFormat="1" applyFont="1"/>
    <xf numFmtId="4" fontId="6" fillId="0" borderId="0" xfId="0" applyNumberFormat="1" applyFont="1"/>
    <xf numFmtId="171" fontId="6" fillId="0" borderId="0" xfId="0" applyNumberFormat="1" applyFont="1"/>
    <xf numFmtId="173" fontId="0" fillId="0" borderId="0" xfId="0" applyNumberFormat="1"/>
    <xf numFmtId="0" fontId="8" fillId="0" borderId="36" xfId="0" quotePrefix="1" applyFont="1" applyBorder="1" applyAlignment="1">
      <alignment horizontal="right"/>
    </xf>
    <xf numFmtId="9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/>
    </xf>
    <xf numFmtId="174" fontId="28" fillId="0" borderId="0" xfId="0" applyNumberFormat="1" applyFont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44" fontId="25" fillId="17" borderId="2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172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72" fontId="29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vertical="center"/>
    </xf>
    <xf numFmtId="6" fontId="0" fillId="0" borderId="0" xfId="0" applyNumberFormat="1"/>
    <xf numFmtId="8" fontId="14" fillId="0" borderId="0" xfId="0" applyNumberFormat="1" applyFont="1"/>
    <xf numFmtId="0" fontId="1" fillId="0" borderId="46" xfId="0" applyFont="1" applyBorder="1"/>
    <xf numFmtId="0" fontId="1" fillId="0" borderId="50" xfId="0" applyFont="1" applyBorder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4" fontId="13" fillId="0" borderId="0" xfId="0" applyNumberFormat="1" applyFont="1"/>
    <xf numFmtId="0" fontId="13" fillId="0" borderId="0" xfId="0" applyFont="1"/>
    <xf numFmtId="167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171" fontId="0" fillId="12" borderId="43" xfId="0" applyNumberFormat="1" applyFill="1" applyBorder="1"/>
    <xf numFmtId="171" fontId="0" fillId="12" borderId="42" xfId="0" applyNumberFormat="1" applyFill="1" applyBorder="1"/>
    <xf numFmtId="0" fontId="10" fillId="13" borderId="47" xfId="0" applyFont="1" applyFill="1" applyBorder="1" applyAlignment="1">
      <alignment horizontal="center" vertical="center"/>
    </xf>
    <xf numFmtId="0" fontId="13" fillId="13" borderId="42" xfId="0" applyFont="1" applyFill="1" applyBorder="1" applyAlignment="1">
      <alignment horizontal="center" vertical="center"/>
    </xf>
    <xf numFmtId="0" fontId="10" fillId="13" borderId="48" xfId="0" applyFont="1" applyFill="1" applyBorder="1" applyAlignment="1">
      <alignment horizontal="center" vertical="center"/>
    </xf>
    <xf numFmtId="0" fontId="13" fillId="13" borderId="43" xfId="0" applyFont="1" applyFill="1" applyBorder="1" applyAlignment="1">
      <alignment horizontal="center" vertical="center"/>
    </xf>
    <xf numFmtId="0" fontId="10" fillId="16" borderId="47" xfId="0" applyFont="1" applyFill="1" applyBorder="1" applyAlignment="1">
      <alignment horizontal="center" vertical="center"/>
    </xf>
    <xf numFmtId="0" fontId="13" fillId="16" borderId="4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2" fontId="1" fillId="6" borderId="13" xfId="3" applyNumberFormat="1" applyFont="1" applyFill="1" applyBorder="1" applyAlignment="1" applyProtection="1">
      <alignment horizontal="right"/>
    </xf>
    <xf numFmtId="4" fontId="1" fillId="2" borderId="16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 wrapText="1"/>
    </xf>
    <xf numFmtId="4" fontId="1" fillId="0" borderId="20" xfId="3" applyNumberFormat="1" applyFont="1" applyFill="1" applyBorder="1" applyAlignment="1" applyProtection="1">
      <alignment horizontal="right"/>
      <protection locked="0"/>
    </xf>
    <xf numFmtId="4" fontId="1" fillId="0" borderId="20" xfId="3" applyNumberFormat="1" applyFont="1" applyFill="1" applyBorder="1" applyAlignment="1" applyProtection="1">
      <alignment horizontal="right" wrapText="1"/>
      <protection locked="0"/>
    </xf>
    <xf numFmtId="4" fontId="1" fillId="0" borderId="1" xfId="3" applyNumberFormat="1" applyFont="1" applyFill="1" applyBorder="1" applyAlignment="1" applyProtection="1">
      <alignment horizontal="right"/>
      <protection locked="0"/>
    </xf>
    <xf numFmtId="4" fontId="1" fillId="0" borderId="1" xfId="3" applyNumberFormat="1" applyFont="1" applyFill="1" applyBorder="1" applyAlignment="1" applyProtection="1">
      <alignment horizontal="right" wrapText="1"/>
      <protection locked="0"/>
    </xf>
    <xf numFmtId="4" fontId="1" fillId="2" borderId="16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/>
    </xf>
    <xf numFmtId="4" fontId="1" fillId="0" borderId="20" xfId="0" applyNumberFormat="1" applyFont="1" applyBorder="1" applyAlignment="1" applyProtection="1">
      <alignment horizontal="right" vertical="center"/>
      <protection locked="0"/>
    </xf>
    <xf numFmtId="4" fontId="1" fillId="0" borderId="20" xfId="3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1" xfId="3" applyNumberFormat="1" applyFont="1" applyFill="1" applyBorder="1" applyAlignment="1" applyProtection="1">
      <alignment horizontal="right" vertical="center"/>
      <protection locked="0"/>
    </xf>
    <xf numFmtId="175" fontId="1" fillId="4" borderId="9" xfId="3" applyNumberFormat="1" applyFont="1" applyFill="1" applyBorder="1" applyAlignment="1" applyProtection="1">
      <alignment horizontal="right"/>
    </xf>
    <xf numFmtId="2" fontId="2" fillId="2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31" fillId="2" borderId="0" xfId="0" applyNumberFormat="1" applyFont="1" applyFill="1" applyAlignment="1">
      <alignment horizontal="left"/>
    </xf>
    <xf numFmtId="4" fontId="2" fillId="0" borderId="19" xfId="0" applyNumberFormat="1" applyFont="1" applyBorder="1" applyAlignment="1">
      <alignment horizontal="right" vertical="center"/>
    </xf>
    <xf numFmtId="4" fontId="31" fillId="0" borderId="19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 applyProtection="1">
      <alignment horizontal="right"/>
      <protection locked="0"/>
    </xf>
    <xf numFmtId="2" fontId="1" fillId="0" borderId="19" xfId="3" applyNumberFormat="1" applyFont="1" applyFill="1" applyBorder="1" applyAlignment="1" applyProtection="1">
      <alignment horizontal="right"/>
      <protection locked="0"/>
    </xf>
    <xf numFmtId="2" fontId="3" fillId="2" borderId="19" xfId="3" applyNumberFormat="1" applyFont="1" applyFill="1" applyBorder="1" applyAlignment="1" applyProtection="1">
      <alignment horizontal="right"/>
      <protection locked="0"/>
    </xf>
    <xf numFmtId="2" fontId="22" fillId="2" borderId="19" xfId="3" applyNumberFormat="1" applyFont="1" applyFill="1" applyBorder="1" applyAlignment="1" applyProtection="1">
      <alignment horizontal="right"/>
      <protection locked="0"/>
    </xf>
    <xf numFmtId="2" fontId="2" fillId="2" borderId="19" xfId="3" applyNumberFormat="1" applyFont="1" applyFill="1" applyBorder="1" applyAlignment="1" applyProtection="1">
      <alignment horizontal="right"/>
      <protection locked="0"/>
    </xf>
    <xf numFmtId="2" fontId="1" fillId="2" borderId="19" xfId="3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0" fontId="0" fillId="7" borderId="52" xfId="0" applyFill="1" applyBorder="1" applyAlignment="1">
      <alignment horizontal="center"/>
    </xf>
    <xf numFmtId="0" fontId="6" fillId="7" borderId="53" xfId="0" applyFont="1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14" fontId="1" fillId="2" borderId="55" xfId="0" applyNumberFormat="1" applyFont="1" applyFill="1" applyBorder="1" applyAlignment="1" applyProtection="1">
      <alignment horizontal="center" vertical="center"/>
      <protection locked="0"/>
    </xf>
    <xf numFmtId="0" fontId="6" fillId="0" borderId="56" xfId="0" applyFont="1" applyBorder="1"/>
    <xf numFmtId="14" fontId="1" fillId="6" borderId="57" xfId="0" applyNumberFormat="1" applyFont="1" applyFill="1" applyBorder="1" applyAlignment="1" applyProtection="1">
      <alignment horizontal="center" vertical="center"/>
      <protection locked="0"/>
    </xf>
    <xf numFmtId="0" fontId="1" fillId="6" borderId="58" xfId="0" applyFont="1" applyFill="1" applyBorder="1" applyAlignment="1" applyProtection="1">
      <alignment horizontal="right"/>
      <protection locked="0"/>
    </xf>
    <xf numFmtId="2" fontId="1" fillId="6" borderId="58" xfId="0" applyNumberFormat="1" applyFont="1" applyFill="1" applyBorder="1" applyAlignment="1" applyProtection="1">
      <alignment horizontal="right"/>
      <protection locked="0"/>
    </xf>
    <xf numFmtId="2" fontId="1" fillId="6" borderId="58" xfId="3" applyNumberFormat="1" applyFont="1" applyFill="1" applyBorder="1" applyAlignment="1" applyProtection="1">
      <alignment horizontal="right"/>
      <protection locked="0"/>
    </xf>
    <xf numFmtId="2" fontId="0" fillId="7" borderId="59" xfId="0" applyNumberFormat="1" applyFill="1" applyBorder="1" applyAlignment="1">
      <alignment horizontal="right"/>
    </xf>
    <xf numFmtId="2" fontId="0" fillId="0" borderId="56" xfId="0" applyNumberFormat="1" applyBorder="1" applyAlignment="1">
      <alignment horizontal="right"/>
    </xf>
    <xf numFmtId="2" fontId="1" fillId="2" borderId="1" xfId="3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20" xfId="3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166" fontId="1" fillId="2" borderId="61" xfId="0" applyNumberFormat="1" applyFont="1" applyFill="1" applyBorder="1" applyAlignment="1" applyProtection="1">
      <alignment horizontal="left" vertical="center"/>
      <protection locked="0"/>
    </xf>
    <xf numFmtId="2" fontId="1" fillId="2" borderId="35" xfId="3" applyNumberFormat="1" applyFont="1" applyFill="1" applyBorder="1" applyAlignment="1" applyProtection="1">
      <alignment horizontal="right"/>
      <protection locked="0"/>
    </xf>
    <xf numFmtId="2" fontId="1" fillId="2" borderId="35" xfId="0" applyNumberFormat="1" applyFont="1" applyFill="1" applyBorder="1" applyAlignment="1" applyProtection="1">
      <alignment horizontal="right"/>
      <protection locked="0"/>
    </xf>
    <xf numFmtId="4" fontId="1" fillId="0" borderId="35" xfId="3" applyNumberFormat="1" applyFont="1" applyFill="1" applyBorder="1" applyAlignment="1" applyProtection="1">
      <alignment horizontal="right"/>
      <protection locked="0"/>
    </xf>
    <xf numFmtId="4" fontId="1" fillId="0" borderId="35" xfId="3" applyNumberFormat="1" applyFont="1" applyFill="1" applyBorder="1" applyAlignment="1" applyProtection="1">
      <alignment horizontal="right" wrapText="1"/>
      <protection locked="0"/>
    </xf>
    <xf numFmtId="4" fontId="1" fillId="0" borderId="35" xfId="0" applyNumberFormat="1" applyFont="1" applyBorder="1" applyAlignment="1" applyProtection="1">
      <alignment horizontal="right" vertical="center"/>
      <protection locked="0"/>
    </xf>
    <xf numFmtId="4" fontId="30" fillId="0" borderId="35" xfId="3" applyNumberFormat="1" applyFont="1" applyBorder="1" applyAlignment="1">
      <alignment horizontal="right" vertical="center"/>
    </xf>
    <xf numFmtId="4" fontId="1" fillId="0" borderId="35" xfId="3" applyNumberFormat="1" applyFont="1" applyFill="1" applyBorder="1" applyAlignment="1" applyProtection="1">
      <alignment horizontal="right" vertical="center"/>
      <protection locked="0"/>
    </xf>
    <xf numFmtId="166" fontId="1" fillId="2" borderId="20" xfId="0" applyNumberFormat="1" applyFont="1" applyFill="1" applyBorder="1" applyAlignment="1" applyProtection="1">
      <alignment horizontal="left" vertical="center"/>
      <protection locked="0"/>
    </xf>
    <xf numFmtId="166" fontId="1" fillId="2" borderId="62" xfId="0" applyNumberFormat="1" applyFont="1" applyFill="1" applyBorder="1" applyAlignment="1" applyProtection="1">
      <alignment horizontal="left" vertical="center"/>
      <protection locked="0"/>
    </xf>
    <xf numFmtId="4" fontId="30" fillId="0" borderId="1" xfId="3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5" fillId="9" borderId="64" xfId="0" applyFont="1" applyFill="1" applyBorder="1" applyAlignment="1">
      <alignment horizontal="right"/>
    </xf>
    <xf numFmtId="7" fontId="25" fillId="0" borderId="64" xfId="0" applyNumberFormat="1" applyFont="1" applyBorder="1" applyAlignment="1">
      <alignment horizontal="right"/>
    </xf>
    <xf numFmtId="44" fontId="25" fillId="0" borderId="64" xfId="0" applyNumberFormat="1" applyFont="1" applyBorder="1" applyAlignment="1">
      <alignment horizontal="center"/>
    </xf>
    <xf numFmtId="0" fontId="15" fillId="0" borderId="65" xfId="0" applyFont="1" applyBorder="1" applyAlignment="1">
      <alignment horizontal="right"/>
    </xf>
    <xf numFmtId="44" fontId="15" fillId="0" borderId="65" xfId="0" applyNumberFormat="1" applyFont="1" applyBorder="1" applyAlignment="1">
      <alignment horizontal="center"/>
    </xf>
    <xf numFmtId="44" fontId="16" fillId="0" borderId="65" xfId="0" applyNumberFormat="1" applyFont="1" applyBorder="1" applyAlignment="1">
      <alignment horizontal="center"/>
    </xf>
    <xf numFmtId="44" fontId="0" fillId="0" borderId="65" xfId="0" applyNumberFormat="1" applyBorder="1" applyAlignment="1">
      <alignment horizontal="center"/>
    </xf>
    <xf numFmtId="44" fontId="6" fillId="0" borderId="65" xfId="0" applyNumberFormat="1" applyFont="1" applyBorder="1" applyAlignment="1">
      <alignment horizontal="center"/>
    </xf>
    <xf numFmtId="0" fontId="26" fillId="0" borderId="65" xfId="0" applyFont="1" applyBorder="1"/>
    <xf numFmtId="44" fontId="24" fillId="0" borderId="65" xfId="0" applyNumberFormat="1" applyFont="1" applyBorder="1" applyAlignment="1">
      <alignment horizontal="center"/>
    </xf>
    <xf numFmtId="0" fontId="24" fillId="0" borderId="65" xfId="0" quotePrefix="1" applyFont="1" applyBorder="1"/>
    <xf numFmtId="0" fontId="0" fillId="0" borderId="65" xfId="0" quotePrefix="1" applyBorder="1"/>
    <xf numFmtId="7" fontId="20" fillId="0" borderId="65" xfId="0" applyNumberFormat="1" applyFont="1" applyBorder="1" applyAlignment="1">
      <alignment horizontal="center"/>
    </xf>
    <xf numFmtId="44" fontId="20" fillId="0" borderId="65" xfId="0" applyNumberFormat="1" applyFont="1" applyBorder="1" applyAlignment="1">
      <alignment horizontal="center"/>
    </xf>
    <xf numFmtId="44" fontId="17" fillId="0" borderId="65" xfId="0" applyNumberFormat="1" applyFont="1" applyBorder="1" applyAlignment="1">
      <alignment horizontal="center"/>
    </xf>
    <xf numFmtId="0" fontId="26" fillId="0" borderId="65" xfId="0" quotePrefix="1" applyFont="1" applyBorder="1"/>
    <xf numFmtId="44" fontId="38" fillId="0" borderId="65" xfId="0" applyNumberFormat="1" applyFont="1" applyBorder="1" applyAlignment="1">
      <alignment horizontal="center"/>
    </xf>
    <xf numFmtId="44" fontId="39" fillId="0" borderId="65" xfId="0" applyNumberFormat="1" applyFont="1" applyBorder="1" applyAlignment="1">
      <alignment horizontal="center"/>
    </xf>
    <xf numFmtId="0" fontId="19" fillId="0" borderId="65" xfId="0" quotePrefix="1" applyFont="1" applyBorder="1"/>
    <xf numFmtId="0" fontId="20" fillId="0" borderId="66" xfId="0" applyFont="1" applyBorder="1"/>
    <xf numFmtId="44" fontId="20" fillId="0" borderId="66" xfId="0" applyNumberFormat="1" applyFont="1" applyBorder="1" applyAlignment="1">
      <alignment horizontal="center"/>
    </xf>
    <xf numFmtId="44" fontId="17" fillId="0" borderId="66" xfId="0" applyNumberFormat="1" applyFont="1" applyBorder="1" applyAlignment="1">
      <alignment horizontal="center"/>
    </xf>
    <xf numFmtId="0" fontId="8" fillId="0" borderId="67" xfId="0" applyFont="1" applyBorder="1" applyAlignment="1">
      <alignment horizontal="right"/>
    </xf>
    <xf numFmtId="44" fontId="25" fillId="0" borderId="67" xfId="0" applyNumberFormat="1" applyFont="1" applyBorder="1" applyAlignment="1">
      <alignment horizontal="center"/>
    </xf>
    <xf numFmtId="44" fontId="20" fillId="0" borderId="67" xfId="0" applyNumberFormat="1" applyFont="1" applyBorder="1" applyAlignment="1">
      <alignment horizontal="center"/>
    </xf>
    <xf numFmtId="44" fontId="17" fillId="0" borderId="67" xfId="0" applyNumberFormat="1" applyFont="1" applyBorder="1" applyAlignment="1">
      <alignment horizontal="center"/>
    </xf>
    <xf numFmtId="0" fontId="24" fillId="0" borderId="65" xfId="0" applyFont="1" applyBorder="1"/>
    <xf numFmtId="44" fontId="25" fillId="0" borderId="65" xfId="0" applyNumberFormat="1" applyFont="1" applyBorder="1" applyAlignment="1">
      <alignment horizontal="center"/>
    </xf>
    <xf numFmtId="0" fontId="0" fillId="0" borderId="66" xfId="0" applyBorder="1"/>
    <xf numFmtId="0" fontId="0" fillId="0" borderId="0" xfId="0" applyAlignment="1">
      <alignment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15" fontId="1" fillId="2" borderId="73" xfId="0" applyNumberFormat="1" applyFont="1" applyFill="1" applyBorder="1" applyAlignment="1">
      <alignment horizontal="center" vertical="center"/>
    </xf>
    <xf numFmtId="14" fontId="1" fillId="6" borderId="74" xfId="0" applyNumberFormat="1" applyFont="1" applyFill="1" applyBorder="1" applyAlignment="1">
      <alignment horizontal="center" vertical="center"/>
    </xf>
    <xf numFmtId="166" fontId="1" fillId="2" borderId="75" xfId="0" applyNumberFormat="1" applyFont="1" applyFill="1" applyBorder="1" applyAlignment="1">
      <alignment horizontal="center" vertical="center"/>
    </xf>
    <xf numFmtId="14" fontId="30" fillId="2" borderId="76" xfId="0" applyNumberFormat="1" applyFont="1" applyFill="1" applyBorder="1" applyAlignment="1" applyProtection="1">
      <alignment horizontal="center" vertical="center"/>
      <protection locked="0"/>
    </xf>
    <xf numFmtId="1" fontId="1" fillId="2" borderId="77" xfId="0" applyNumberFormat="1" applyFont="1" applyFill="1" applyBorder="1" applyAlignment="1" applyProtection="1">
      <alignment horizontal="center" vertical="center"/>
      <protection locked="0"/>
    </xf>
    <xf numFmtId="14" fontId="1" fillId="2" borderId="78" xfId="0" applyNumberFormat="1" applyFont="1" applyFill="1" applyBorder="1" applyAlignment="1" applyProtection="1">
      <alignment horizontal="center"/>
      <protection locked="0"/>
    </xf>
    <xf numFmtId="1" fontId="1" fillId="2" borderId="79" xfId="0" applyNumberFormat="1" applyFont="1" applyFill="1" applyBorder="1" applyAlignment="1" applyProtection="1">
      <alignment horizontal="center" vertical="center"/>
      <protection locked="0"/>
    </xf>
    <xf numFmtId="14" fontId="30" fillId="2" borderId="80" xfId="0" applyNumberFormat="1" applyFont="1" applyFill="1" applyBorder="1" applyAlignment="1" applyProtection="1">
      <alignment horizontal="center" vertical="center"/>
      <protection locked="0"/>
    </xf>
    <xf numFmtId="1" fontId="1" fillId="2" borderId="81" xfId="0" applyNumberFormat="1" applyFont="1" applyFill="1" applyBorder="1" applyAlignment="1" applyProtection="1">
      <alignment horizontal="center" vertical="center"/>
      <protection locked="0"/>
    </xf>
    <xf numFmtId="14" fontId="1" fillId="3" borderId="82" xfId="0" applyNumberFormat="1" applyFont="1" applyFill="1" applyBorder="1" applyAlignment="1">
      <alignment horizontal="center" vertical="center"/>
    </xf>
    <xf numFmtId="0" fontId="1" fillId="3" borderId="83" xfId="0" applyFont="1" applyFill="1" applyBorder="1" applyAlignment="1">
      <alignment horizontal="left"/>
    </xf>
    <xf numFmtId="0" fontId="1" fillId="3" borderId="84" xfId="0" applyFont="1" applyFill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2" fontId="1" fillId="6" borderId="90" xfId="3" applyNumberFormat="1" applyFont="1" applyFill="1" applyBorder="1" applyAlignment="1" applyProtection="1">
      <alignment horizontal="right"/>
    </xf>
    <xf numFmtId="2" fontId="1" fillId="2" borderId="75" xfId="0" applyNumberFormat="1" applyFont="1" applyFill="1" applyBorder="1" applyAlignment="1">
      <alignment horizontal="right"/>
    </xf>
    <xf numFmtId="2" fontId="1" fillId="2" borderId="76" xfId="3" applyNumberFormat="1" applyFont="1" applyFill="1" applyBorder="1" applyAlignment="1" applyProtection="1">
      <alignment horizontal="right"/>
      <protection locked="0"/>
    </xf>
    <xf numFmtId="2" fontId="1" fillId="2" borderId="77" xfId="3" applyNumberFormat="1" applyFont="1" applyFill="1" applyBorder="1" applyAlignment="1" applyProtection="1">
      <alignment horizontal="right"/>
      <protection locked="0"/>
    </xf>
    <xf numFmtId="2" fontId="1" fillId="2" borderId="78" xfId="3" applyNumberFormat="1" applyFont="1" applyFill="1" applyBorder="1" applyAlignment="1" applyProtection="1">
      <alignment horizontal="right"/>
      <protection locked="0"/>
    </xf>
    <xf numFmtId="2" fontId="1" fillId="2" borderId="79" xfId="3" applyNumberFormat="1" applyFont="1" applyFill="1" applyBorder="1" applyAlignment="1" applyProtection="1">
      <alignment horizontal="right"/>
      <protection locked="0"/>
    </xf>
    <xf numFmtId="2" fontId="1" fillId="2" borderId="80" xfId="3" applyNumberFormat="1" applyFont="1" applyFill="1" applyBorder="1" applyAlignment="1" applyProtection="1">
      <alignment horizontal="right"/>
      <protection locked="0"/>
    </xf>
    <xf numFmtId="2" fontId="1" fillId="2" borderId="81" xfId="3" applyNumberFormat="1" applyFont="1" applyFill="1" applyBorder="1" applyAlignment="1" applyProtection="1">
      <alignment horizontal="right"/>
      <protection locked="0"/>
    </xf>
    <xf numFmtId="4" fontId="1" fillId="3" borderId="82" xfId="3" applyNumberFormat="1" applyFont="1" applyFill="1" applyBorder="1" applyAlignment="1" applyProtection="1">
      <alignment horizontal="right"/>
    </xf>
    <xf numFmtId="4" fontId="1" fillId="3" borderId="83" xfId="3" applyNumberFormat="1" applyFont="1" applyFill="1" applyBorder="1" applyAlignment="1" applyProtection="1">
      <alignment horizontal="right"/>
    </xf>
    <xf numFmtId="2" fontId="1" fillId="3" borderId="83" xfId="3" applyNumberFormat="1" applyFont="1" applyFill="1" applyBorder="1" applyAlignment="1" applyProtection="1">
      <alignment horizontal="right"/>
    </xf>
    <xf numFmtId="2" fontId="1" fillId="3" borderId="84" xfId="3" applyNumberFormat="1" applyFont="1" applyFill="1" applyBorder="1" applyAlignment="1" applyProtection="1">
      <alignment horizontal="right"/>
    </xf>
    <xf numFmtId="0" fontId="1" fillId="2" borderId="85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87" xfId="0" applyFont="1" applyFill="1" applyBorder="1" applyAlignment="1">
      <alignment horizontal="right" vertical="center" wrapText="1"/>
    </xf>
    <xf numFmtId="0" fontId="1" fillId="2" borderId="92" xfId="0" applyFont="1" applyFill="1" applyBorder="1" applyAlignment="1">
      <alignment horizontal="center" vertical="center" wrapText="1"/>
    </xf>
    <xf numFmtId="0" fontId="1" fillId="2" borderId="87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/>
    </xf>
    <xf numFmtId="4" fontId="1" fillId="2" borderId="74" xfId="0" applyNumberFormat="1" applyFont="1" applyFill="1" applyBorder="1" applyAlignment="1">
      <alignment horizontal="right"/>
    </xf>
    <xf numFmtId="4" fontId="1" fillId="6" borderId="75" xfId="3" applyNumberFormat="1" applyFont="1" applyFill="1" applyBorder="1" applyAlignment="1" applyProtection="1">
      <alignment horizontal="right"/>
    </xf>
    <xf numFmtId="4" fontId="1" fillId="0" borderId="76" xfId="3" applyNumberFormat="1" applyFont="1" applyFill="1" applyBorder="1" applyAlignment="1" applyProtection="1">
      <alignment horizontal="right"/>
      <protection locked="0"/>
    </xf>
    <xf numFmtId="4" fontId="1" fillId="0" borderId="77" xfId="3" applyNumberFormat="1" applyFont="1" applyFill="1" applyBorder="1" applyAlignment="1" applyProtection="1">
      <alignment horizontal="right"/>
      <protection locked="0"/>
    </xf>
    <xf numFmtId="4" fontId="1" fillId="0" borderId="78" xfId="3" applyNumberFormat="1" applyFont="1" applyFill="1" applyBorder="1" applyAlignment="1" applyProtection="1">
      <alignment horizontal="right"/>
      <protection locked="0"/>
    </xf>
    <xf numFmtId="4" fontId="1" fillId="0" borderId="79" xfId="3" applyNumberFormat="1" applyFont="1" applyFill="1" applyBorder="1" applyAlignment="1" applyProtection="1">
      <alignment horizontal="right"/>
      <protection locked="0"/>
    </xf>
    <xf numFmtId="4" fontId="1" fillId="0" borderId="80" xfId="3" applyNumberFormat="1" applyFont="1" applyFill="1" applyBorder="1" applyAlignment="1" applyProtection="1">
      <alignment horizontal="right"/>
      <protection locked="0"/>
    </xf>
    <xf numFmtId="4" fontId="1" fillId="0" borderId="81" xfId="0" applyNumberFormat="1" applyFont="1" applyBorder="1" applyAlignment="1" applyProtection="1">
      <alignment horizontal="right"/>
      <protection locked="0"/>
    </xf>
    <xf numFmtId="4" fontId="1" fillId="3" borderId="84" xfId="3" applyNumberFormat="1" applyFont="1" applyFill="1" applyBorder="1" applyAlignment="1" applyProtection="1">
      <alignment horizontal="right"/>
    </xf>
    <xf numFmtId="0" fontId="1" fillId="2" borderId="94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86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/>
    </xf>
    <xf numFmtId="4" fontId="1" fillId="2" borderId="74" xfId="0" applyNumberFormat="1" applyFont="1" applyFill="1" applyBorder="1" applyAlignment="1">
      <alignment horizontal="right" vertical="center"/>
    </xf>
    <xf numFmtId="4" fontId="1" fillId="2" borderId="75" xfId="0" applyNumberFormat="1" applyFont="1" applyFill="1" applyBorder="1" applyAlignment="1">
      <alignment horizontal="right" vertical="center"/>
    </xf>
    <xf numFmtId="4" fontId="1" fillId="0" borderId="76" xfId="0" applyNumberFormat="1" applyFont="1" applyBorder="1" applyAlignment="1" applyProtection="1">
      <alignment horizontal="right" vertical="center"/>
      <protection locked="0"/>
    </xf>
    <xf numFmtId="4" fontId="1" fillId="0" borderId="77" xfId="0" applyNumberFormat="1" applyFont="1" applyBorder="1" applyAlignment="1" applyProtection="1">
      <alignment horizontal="right" vertical="center"/>
      <protection locked="0"/>
    </xf>
    <xf numFmtId="4" fontId="1" fillId="0" borderId="78" xfId="0" applyNumberFormat="1" applyFont="1" applyBorder="1" applyAlignment="1" applyProtection="1">
      <alignment horizontal="right" vertical="center"/>
      <protection locked="0"/>
    </xf>
    <xf numFmtId="4" fontId="1" fillId="0" borderId="79" xfId="0" applyNumberFormat="1" applyFont="1" applyBorder="1" applyAlignment="1" applyProtection="1">
      <alignment horizontal="right" vertical="center"/>
      <protection locked="0"/>
    </xf>
    <xf numFmtId="4" fontId="1" fillId="0" borderId="80" xfId="0" applyNumberFormat="1" applyFont="1" applyBorder="1" applyAlignment="1" applyProtection="1">
      <alignment horizontal="right" vertical="center"/>
      <protection locked="0"/>
    </xf>
    <xf numFmtId="4" fontId="1" fillId="0" borderId="81" xfId="0" applyNumberFormat="1" applyFont="1" applyBorder="1" applyAlignment="1" applyProtection="1">
      <alignment horizontal="right" vertical="center"/>
      <protection locked="0"/>
    </xf>
    <xf numFmtId="4" fontId="1" fillId="3" borderId="82" xfId="0" applyNumberFormat="1" applyFont="1" applyFill="1" applyBorder="1" applyAlignment="1">
      <alignment horizontal="right" vertical="center"/>
    </xf>
    <xf numFmtId="4" fontId="1" fillId="3" borderId="83" xfId="0" applyNumberFormat="1" applyFont="1" applyFill="1" applyBorder="1" applyAlignment="1">
      <alignment horizontal="right" vertical="center"/>
    </xf>
    <xf numFmtId="4" fontId="1" fillId="3" borderId="84" xfId="0" applyNumberFormat="1" applyFont="1" applyFill="1" applyBorder="1" applyAlignment="1">
      <alignment horizontal="right" vertical="center"/>
    </xf>
    <xf numFmtId="0" fontId="6" fillId="2" borderId="69" xfId="0" applyFont="1" applyFill="1" applyBorder="1" applyAlignment="1">
      <alignment horizontal="center" vertical="center"/>
    </xf>
    <xf numFmtId="14" fontId="5" fillId="5" borderId="99" xfId="0" applyNumberFormat="1" applyFont="1" applyFill="1" applyBorder="1" applyAlignment="1">
      <alignment horizontal="center" vertical="center"/>
    </xf>
    <xf numFmtId="0" fontId="5" fillId="5" borderId="100" xfId="0" applyFont="1" applyFill="1" applyBorder="1" applyAlignment="1">
      <alignment horizontal="center"/>
    </xf>
    <xf numFmtId="0" fontId="5" fillId="5" borderId="101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1" fillId="2" borderId="90" xfId="0" applyFont="1" applyFill="1" applyBorder="1" applyAlignment="1">
      <alignment horizontal="center"/>
    </xf>
    <xf numFmtId="0" fontId="1" fillId="2" borderId="104" xfId="0" applyFont="1" applyFill="1" applyBorder="1" applyAlignment="1">
      <alignment horizontal="center" vertical="center"/>
    </xf>
    <xf numFmtId="165" fontId="1" fillId="2" borderId="105" xfId="3" applyFont="1" applyFill="1" applyBorder="1" applyAlignment="1" applyProtection="1">
      <alignment horizontal="center"/>
    </xf>
    <xf numFmtId="165" fontId="1" fillId="2" borderId="106" xfId="3" applyFont="1" applyFill="1" applyBorder="1" applyAlignment="1" applyProtection="1">
      <alignment horizontal="center"/>
    </xf>
    <xf numFmtId="165" fontId="1" fillId="2" borderId="107" xfId="3" applyFont="1" applyFill="1" applyBorder="1" applyAlignment="1" applyProtection="1">
      <alignment horizontal="center" vertical="center"/>
    </xf>
    <xf numFmtId="165" fontId="5" fillId="5" borderId="99" xfId="3" applyFont="1" applyFill="1" applyBorder="1" applyAlignment="1" applyProtection="1">
      <alignment horizontal="right"/>
    </xf>
    <xf numFmtId="165" fontId="5" fillId="5" borderId="100" xfId="3" applyFont="1" applyFill="1" applyBorder="1" applyAlignment="1" applyProtection="1">
      <alignment horizontal="right"/>
    </xf>
    <xf numFmtId="165" fontId="5" fillId="5" borderId="100" xfId="3" applyFont="1" applyFill="1" applyBorder="1" applyAlignment="1" applyProtection="1"/>
    <xf numFmtId="165" fontId="5" fillId="5" borderId="101" xfId="3" applyFont="1" applyFill="1" applyBorder="1" applyAlignment="1" applyProtection="1"/>
    <xf numFmtId="0" fontId="1" fillId="2" borderId="108" xfId="0" applyFont="1" applyFill="1" applyBorder="1" applyAlignment="1">
      <alignment horizontal="center" vertical="center"/>
    </xf>
    <xf numFmtId="0" fontId="1" fillId="2" borderId="109" xfId="0" applyFont="1" applyFill="1" applyBorder="1" applyAlignment="1">
      <alignment horizontal="center" vertical="center"/>
    </xf>
    <xf numFmtId="0" fontId="1" fillId="2" borderId="90" xfId="0" applyFont="1" applyFill="1" applyBorder="1" applyAlignment="1">
      <alignment horizontal="right"/>
    </xf>
    <xf numFmtId="0" fontId="1" fillId="2" borderId="110" xfId="0" applyFont="1" applyFill="1" applyBorder="1" applyAlignment="1">
      <alignment horizontal="center"/>
    </xf>
    <xf numFmtId="175" fontId="1" fillId="2" borderId="105" xfId="3" applyNumberFormat="1" applyFont="1" applyFill="1" applyBorder="1" applyAlignment="1" applyProtection="1">
      <alignment horizontal="right"/>
    </xf>
    <xf numFmtId="175" fontId="1" fillId="2" borderId="111" xfId="3" applyNumberFormat="1" applyFont="1" applyFill="1" applyBorder="1" applyAlignment="1" applyProtection="1">
      <alignment horizontal="right"/>
    </xf>
    <xf numFmtId="175" fontId="1" fillId="2" borderId="112" xfId="3" applyNumberFormat="1" applyFont="1" applyFill="1" applyBorder="1" applyAlignment="1" applyProtection="1">
      <alignment horizontal="right"/>
    </xf>
    <xf numFmtId="0" fontId="1" fillId="2" borderId="113" xfId="0" applyFont="1" applyFill="1" applyBorder="1" applyAlignment="1">
      <alignment horizontal="center"/>
    </xf>
    <xf numFmtId="0" fontId="1" fillId="2" borderId="114" xfId="0" applyFont="1" applyFill="1" applyBorder="1" applyAlignment="1">
      <alignment horizontal="center"/>
    </xf>
    <xf numFmtId="0" fontId="1" fillId="2" borderId="114" xfId="0" applyFont="1" applyFill="1" applyBorder="1" applyAlignment="1">
      <alignment horizontal="center" vertical="center"/>
    </xf>
    <xf numFmtId="175" fontId="1" fillId="2" borderId="114" xfId="3" applyNumberFormat="1" applyFont="1" applyFill="1" applyBorder="1" applyAlignment="1" applyProtection="1">
      <alignment horizontal="right"/>
    </xf>
    <xf numFmtId="4" fontId="1" fillId="2" borderId="114" xfId="0" applyNumberFormat="1" applyFont="1" applyFill="1" applyBorder="1" applyAlignment="1">
      <alignment horizontal="right"/>
    </xf>
    <xf numFmtId="4" fontId="1" fillId="2" borderId="115" xfId="0" applyNumberFormat="1" applyFont="1" applyFill="1" applyBorder="1"/>
    <xf numFmtId="165" fontId="5" fillId="5" borderId="99" xfId="3" applyFont="1" applyFill="1" applyBorder="1" applyAlignment="1" applyProtection="1"/>
    <xf numFmtId="165" fontId="5" fillId="5" borderId="100" xfId="3" applyFont="1" applyFill="1" applyBorder="1" applyAlignment="1" applyProtection="1">
      <alignment horizontal="right" wrapText="1"/>
    </xf>
    <xf numFmtId="170" fontId="5" fillId="5" borderId="100" xfId="2" applyNumberFormat="1" applyFont="1" applyFill="1" applyBorder="1" applyAlignment="1" applyProtection="1"/>
    <xf numFmtId="0" fontId="1" fillId="2" borderId="116" xfId="0" applyFont="1" applyFill="1" applyBorder="1" applyAlignment="1">
      <alignment horizontal="center" vertical="center" wrapText="1"/>
    </xf>
    <xf numFmtId="0" fontId="1" fillId="2" borderId="109" xfId="0" applyFont="1" applyFill="1" applyBorder="1" applyAlignment="1">
      <alignment horizontal="center" vertical="center" wrapText="1"/>
    </xf>
    <xf numFmtId="0" fontId="1" fillId="2" borderId="117" xfId="0" applyFont="1" applyFill="1" applyBorder="1" applyAlignment="1">
      <alignment horizontal="center"/>
    </xf>
    <xf numFmtId="175" fontId="1" fillId="2" borderId="105" xfId="3" applyNumberFormat="1" applyFont="1" applyFill="1" applyBorder="1" applyAlignment="1" applyProtection="1"/>
    <xf numFmtId="175" fontId="1" fillId="2" borderId="111" xfId="3" applyNumberFormat="1" applyFont="1" applyFill="1" applyBorder="1" applyAlignment="1" applyProtection="1"/>
    <xf numFmtId="175" fontId="1" fillId="2" borderId="112" xfId="3" applyNumberFormat="1" applyFont="1" applyFill="1" applyBorder="1" applyAlignment="1" applyProtection="1"/>
    <xf numFmtId="175" fontId="1" fillId="2" borderId="7" xfId="0" applyNumberFormat="1" applyFont="1" applyFill="1" applyBorder="1" applyAlignment="1">
      <alignment horizontal="right" wrapText="1"/>
    </xf>
    <xf numFmtId="4" fontId="1" fillId="2" borderId="113" xfId="0" applyNumberFormat="1" applyFont="1" applyFill="1" applyBorder="1"/>
    <xf numFmtId="4" fontId="1" fillId="2" borderId="114" xfId="0" applyNumberFormat="1" applyFont="1" applyFill="1" applyBorder="1"/>
    <xf numFmtId="4" fontId="1" fillId="2" borderId="114" xfId="0" applyNumberFormat="1" applyFont="1" applyFill="1" applyBorder="1" applyAlignment="1">
      <alignment horizontal="right" wrapText="1"/>
    </xf>
    <xf numFmtId="165" fontId="1" fillId="2" borderId="114" xfId="3" applyFont="1" applyFill="1" applyBorder="1" applyAlignment="1" applyProtection="1"/>
    <xf numFmtId="165" fontId="1" fillId="2" borderId="115" xfId="3" applyFont="1" applyFill="1" applyBorder="1" applyAlignment="1" applyProtection="1"/>
    <xf numFmtId="165" fontId="1" fillId="2" borderId="4" xfId="3" applyFont="1" applyFill="1" applyBorder="1" applyAlignment="1" applyProtection="1"/>
    <xf numFmtId="175" fontId="1" fillId="2" borderId="0" xfId="0" applyNumberFormat="1" applyFont="1" applyFill="1"/>
    <xf numFmtId="0" fontId="1" fillId="2" borderId="68" xfId="0" applyFont="1" applyFill="1" applyBorder="1"/>
    <xf numFmtId="0" fontId="1" fillId="2" borderId="114" xfId="0" applyFont="1" applyFill="1" applyBorder="1"/>
    <xf numFmtId="169" fontId="5" fillId="5" borderId="118" xfId="0" applyNumberFormat="1" applyFont="1" applyFill="1" applyBorder="1"/>
    <xf numFmtId="169" fontId="5" fillId="5" borderId="15" xfId="0" applyNumberFormat="1" applyFont="1" applyFill="1" applyBorder="1"/>
    <xf numFmtId="167" fontId="5" fillId="5" borderId="15" xfId="0" applyNumberFormat="1" applyFont="1" applyFill="1" applyBorder="1"/>
    <xf numFmtId="165" fontId="5" fillId="5" borderId="15" xfId="3" applyFont="1" applyFill="1" applyBorder="1" applyAlignment="1" applyProtection="1"/>
    <xf numFmtId="4" fontId="5" fillId="5" borderId="15" xfId="0" applyNumberFormat="1" applyFont="1" applyFill="1" applyBorder="1"/>
    <xf numFmtId="4" fontId="5" fillId="5" borderId="21" xfId="0" applyNumberFormat="1" applyFont="1" applyFill="1" applyBorder="1"/>
    <xf numFmtId="0" fontId="1" fillId="2" borderId="104" xfId="0" applyFont="1" applyFill="1" applyBorder="1" applyAlignment="1">
      <alignment horizontal="center"/>
    </xf>
    <xf numFmtId="4" fontId="1" fillId="2" borderId="119" xfId="0" applyNumberFormat="1" applyFont="1" applyFill="1" applyBorder="1"/>
    <xf numFmtId="166" fontId="1" fillId="2" borderId="19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/>
    <xf numFmtId="166" fontId="1" fillId="2" borderId="0" xfId="0" applyNumberFormat="1" applyFont="1" applyFill="1" applyAlignment="1" applyProtection="1">
      <alignment horizontal="left" vertical="center"/>
      <protection locked="0"/>
    </xf>
    <xf numFmtId="2" fontId="6" fillId="13" borderId="42" xfId="0" applyNumberFormat="1" applyFont="1" applyFill="1" applyBorder="1"/>
    <xf numFmtId="2" fontId="6" fillId="13" borderId="43" xfId="0" applyNumberFormat="1" applyFont="1" applyFill="1" applyBorder="1"/>
    <xf numFmtId="2" fontId="6" fillId="16" borderId="42" xfId="0" applyNumberFormat="1" applyFont="1" applyFill="1" applyBorder="1"/>
    <xf numFmtId="0" fontId="10" fillId="11" borderId="33" xfId="0" applyFont="1" applyFill="1" applyBorder="1" applyAlignment="1">
      <alignment horizontal="center" vertical="center"/>
    </xf>
    <xf numFmtId="0" fontId="13" fillId="11" borderId="36" xfId="0" applyFont="1" applyFill="1" applyBorder="1" applyAlignment="1">
      <alignment horizontal="center" vertical="center"/>
    </xf>
    <xf numFmtId="2" fontId="6" fillId="11" borderId="36" xfId="0" applyNumberFormat="1" applyFont="1" applyFill="1" applyBorder="1" applyAlignment="1">
      <alignment horizontal="center"/>
    </xf>
    <xf numFmtId="0" fontId="0" fillId="12" borderId="36" xfId="0" applyFill="1" applyBorder="1"/>
    <xf numFmtId="0" fontId="10" fillId="16" borderId="48" xfId="0" applyFont="1" applyFill="1" applyBorder="1" applyAlignment="1">
      <alignment horizontal="center" vertical="center"/>
    </xf>
    <xf numFmtId="0" fontId="13" fillId="16" borderId="43" xfId="0" applyFont="1" applyFill="1" applyBorder="1" applyAlignment="1">
      <alignment horizontal="center" vertical="center"/>
    </xf>
    <xf numFmtId="2" fontId="6" fillId="16" borderId="43" xfId="0" applyNumberFormat="1" applyFont="1" applyFill="1" applyBorder="1"/>
    <xf numFmtId="171" fontId="0" fillId="0" borderId="38" xfId="0" applyNumberFormat="1" applyBorder="1" applyAlignment="1">
      <alignment vertical="top"/>
    </xf>
    <xf numFmtId="171" fontId="6" fillId="0" borderId="36" xfId="0" applyNumberFormat="1" applyFont="1" applyBorder="1" applyAlignment="1">
      <alignment vertical="top" wrapText="1"/>
    </xf>
    <xf numFmtId="4" fontId="0" fillId="11" borderId="36" xfId="0" applyNumberFormat="1" applyFill="1" applyBorder="1" applyAlignment="1">
      <alignment vertical="center"/>
    </xf>
    <xf numFmtId="4" fontId="0" fillId="13" borderId="42" xfId="0" applyNumberFormat="1" applyFill="1" applyBorder="1" applyAlignment="1">
      <alignment vertical="center"/>
    </xf>
    <xf numFmtId="4" fontId="0" fillId="13" borderId="43" xfId="0" applyNumberFormat="1" applyFill="1" applyBorder="1" applyAlignment="1">
      <alignment vertical="center"/>
    </xf>
    <xf numFmtId="4" fontId="6" fillId="16" borderId="42" xfId="0" applyNumberFormat="1" applyFont="1" applyFill="1" applyBorder="1" applyAlignment="1">
      <alignment vertical="center"/>
    </xf>
    <xf numFmtId="4" fontId="0" fillId="16" borderId="43" xfId="0" applyNumberFormat="1" applyFill="1" applyBorder="1" applyAlignment="1">
      <alignment vertical="center"/>
    </xf>
    <xf numFmtId="9" fontId="0" fillId="16" borderId="36" xfId="0" applyNumberFormat="1" applyFill="1" applyBorder="1" applyAlignment="1">
      <alignment vertical="center"/>
    </xf>
    <xf numFmtId="171" fontId="0" fillId="12" borderId="36" xfId="0" applyNumberFormat="1" applyFill="1" applyBorder="1" applyAlignment="1">
      <alignment vertical="center"/>
    </xf>
    <xf numFmtId="171" fontId="0" fillId="12" borderId="42" xfId="0" applyNumberFormat="1" applyFill="1" applyBorder="1" applyAlignment="1">
      <alignment vertical="center"/>
    </xf>
    <xf numFmtId="171" fontId="0" fillId="12" borderId="43" xfId="0" applyNumberFormat="1" applyFill="1" applyBorder="1" applyAlignment="1">
      <alignment vertical="center"/>
    </xf>
    <xf numFmtId="9" fontId="6" fillId="12" borderId="42" xfId="0" applyNumberFormat="1" applyFont="1" applyFill="1" applyBorder="1" applyAlignment="1">
      <alignment vertical="center"/>
    </xf>
    <xf numFmtId="4" fontId="6" fillId="11" borderId="36" xfId="0" applyNumberFormat="1" applyFont="1" applyFill="1" applyBorder="1" applyAlignment="1">
      <alignment vertical="center"/>
    </xf>
    <xf numFmtId="4" fontId="6" fillId="13" borderId="42" xfId="0" applyNumberFormat="1" applyFont="1" applyFill="1" applyBorder="1" applyAlignment="1">
      <alignment vertical="center"/>
    </xf>
    <xf numFmtId="4" fontId="6" fillId="13" borderId="43" xfId="0" applyNumberFormat="1" applyFont="1" applyFill="1" applyBorder="1" applyAlignment="1">
      <alignment vertical="center"/>
    </xf>
    <xf numFmtId="4" fontId="6" fillId="16" borderId="43" xfId="0" applyNumberFormat="1" applyFont="1" applyFill="1" applyBorder="1" applyAlignment="1">
      <alignment vertical="center"/>
    </xf>
    <xf numFmtId="171" fontId="0" fillId="11" borderId="36" xfId="0" applyNumberFormat="1" applyFill="1" applyBorder="1" applyAlignment="1">
      <alignment vertical="center"/>
    </xf>
    <xf numFmtId="9" fontId="0" fillId="12" borderId="36" xfId="0" applyNumberFormat="1" applyFill="1" applyBorder="1" applyAlignment="1">
      <alignment vertical="center"/>
    </xf>
    <xf numFmtId="4" fontId="23" fillId="11" borderId="36" xfId="0" quotePrefix="1" applyNumberFormat="1" applyFont="1" applyFill="1" applyBorder="1" applyAlignment="1">
      <alignment vertical="center"/>
    </xf>
    <xf numFmtId="4" fontId="33" fillId="13" borderId="42" xfId="0" applyNumberFormat="1" applyFont="1" applyFill="1" applyBorder="1" applyAlignment="1">
      <alignment vertical="center"/>
    </xf>
    <xf numFmtId="4" fontId="33" fillId="13" borderId="43" xfId="0" applyNumberFormat="1" applyFont="1" applyFill="1" applyBorder="1" applyAlignment="1">
      <alignment vertical="center"/>
    </xf>
    <xf numFmtId="4" fontId="37" fillId="16" borderId="42" xfId="0" applyNumberFormat="1" applyFont="1" applyFill="1" applyBorder="1" applyAlignment="1">
      <alignment vertical="center"/>
    </xf>
    <xf numFmtId="2" fontId="33" fillId="16" borderId="43" xfId="0" applyNumberFormat="1" applyFont="1" applyFill="1" applyBorder="1" applyAlignment="1">
      <alignment vertical="center"/>
    </xf>
    <xf numFmtId="9" fontId="37" fillId="16" borderId="36" xfId="0" applyNumberFormat="1" applyFont="1" applyFill="1" applyBorder="1" applyAlignment="1">
      <alignment vertical="center"/>
    </xf>
    <xf numFmtId="2" fontId="6" fillId="16" borderId="42" xfId="0" applyNumberFormat="1" applyFont="1" applyFill="1" applyBorder="1" applyAlignment="1">
      <alignment vertical="center"/>
    </xf>
    <xf numFmtId="2" fontId="0" fillId="16" borderId="43" xfId="0" applyNumberFormat="1" applyFill="1" applyBorder="1" applyAlignment="1">
      <alignment vertical="center"/>
    </xf>
    <xf numFmtId="171" fontId="0" fillId="13" borderId="42" xfId="0" applyNumberFormat="1" applyFill="1" applyBorder="1" applyAlignment="1">
      <alignment vertical="center"/>
    </xf>
    <xf numFmtId="171" fontId="0" fillId="13" borderId="43" xfId="0" applyNumberFormat="1" applyFill="1" applyBorder="1" applyAlignment="1">
      <alignment vertical="center"/>
    </xf>
    <xf numFmtId="171" fontId="6" fillId="16" borderId="42" xfId="0" applyNumberFormat="1" applyFont="1" applyFill="1" applyBorder="1" applyAlignment="1">
      <alignment vertical="center"/>
    </xf>
    <xf numFmtId="171" fontId="0" fillId="16" borderId="36" xfId="0" applyNumberFormat="1" applyFill="1" applyBorder="1" applyAlignment="1">
      <alignment vertical="center"/>
    </xf>
    <xf numFmtId="171" fontId="23" fillId="12" borderId="36" xfId="0" quotePrefix="1" applyNumberFormat="1" applyFont="1" applyFill="1" applyBorder="1" applyAlignment="1">
      <alignment vertical="center"/>
    </xf>
    <xf numFmtId="2" fontId="0" fillId="12" borderId="43" xfId="0" applyNumberFormat="1" applyFill="1" applyBorder="1" applyAlignment="1">
      <alignment vertical="center"/>
    </xf>
    <xf numFmtId="4" fontId="8" fillId="11" borderId="36" xfId="0" quotePrefix="1" applyNumberFormat="1" applyFont="1" applyFill="1" applyBorder="1" applyAlignment="1">
      <alignment vertical="center"/>
    </xf>
    <xf numFmtId="4" fontId="8" fillId="13" borderId="42" xfId="0" quotePrefix="1" applyNumberFormat="1" applyFont="1" applyFill="1" applyBorder="1" applyAlignment="1">
      <alignment vertical="center"/>
    </xf>
    <xf numFmtId="4" fontId="8" fillId="13" borderId="43" xfId="0" quotePrefix="1" applyNumberFormat="1" applyFont="1" applyFill="1" applyBorder="1" applyAlignment="1">
      <alignment vertical="center"/>
    </xf>
    <xf numFmtId="4" fontId="6" fillId="16" borderId="42" xfId="0" quotePrefix="1" applyNumberFormat="1" applyFont="1" applyFill="1" applyBorder="1" applyAlignment="1">
      <alignment vertical="center"/>
    </xf>
    <xf numFmtId="4" fontId="6" fillId="16" borderId="43" xfId="0" quotePrefix="1" applyNumberFormat="1" applyFont="1" applyFill="1" applyBorder="1" applyAlignment="1">
      <alignment vertical="center"/>
    </xf>
    <xf numFmtId="9" fontId="6" fillId="16" borderId="36" xfId="0" applyNumberFormat="1" applyFont="1" applyFill="1" applyBorder="1" applyAlignment="1">
      <alignment vertical="center"/>
    </xf>
    <xf numFmtId="4" fontId="8" fillId="12" borderId="36" xfId="0" quotePrefix="1" applyNumberFormat="1" applyFont="1" applyFill="1" applyBorder="1" applyAlignment="1">
      <alignment vertical="center"/>
    </xf>
    <xf numFmtId="4" fontId="8" fillId="12" borderId="42" xfId="0" quotePrefix="1" applyNumberFormat="1" applyFont="1" applyFill="1" applyBorder="1" applyAlignment="1">
      <alignment vertical="center"/>
    </xf>
    <xf numFmtId="4" fontId="8" fillId="12" borderId="43" xfId="0" quotePrefix="1" applyNumberFormat="1" applyFont="1" applyFill="1" applyBorder="1" applyAlignment="1">
      <alignment vertical="center"/>
    </xf>
    <xf numFmtId="4" fontId="6" fillId="12" borderId="43" xfId="0" applyNumberFormat="1" applyFont="1" applyFill="1" applyBorder="1" applyAlignment="1">
      <alignment vertical="center"/>
    </xf>
    <xf numFmtId="9" fontId="6" fillId="12" borderId="36" xfId="0" applyNumberFormat="1" applyFont="1" applyFill="1" applyBorder="1" applyAlignment="1">
      <alignment vertical="center"/>
    </xf>
    <xf numFmtId="4" fontId="6" fillId="11" borderId="36" xfId="0" quotePrefix="1" applyNumberFormat="1" applyFont="1" applyFill="1" applyBorder="1" applyAlignment="1">
      <alignment vertical="center"/>
    </xf>
    <xf numFmtId="4" fontId="6" fillId="13" borderId="42" xfId="0" quotePrefix="1" applyNumberFormat="1" applyFont="1" applyFill="1" applyBorder="1" applyAlignment="1">
      <alignment vertical="center"/>
    </xf>
    <xf numFmtId="4" fontId="6" fillId="13" borderId="43" xfId="0" quotePrefix="1" applyNumberFormat="1" applyFont="1" applyFill="1" applyBorder="1" applyAlignment="1">
      <alignment vertical="center"/>
    </xf>
    <xf numFmtId="4" fontId="6" fillId="12" borderId="36" xfId="0" quotePrefix="1" applyNumberFormat="1" applyFont="1" applyFill="1" applyBorder="1" applyAlignment="1">
      <alignment vertical="center"/>
    </xf>
    <xf numFmtId="4" fontId="6" fillId="12" borderId="42" xfId="0" quotePrefix="1" applyNumberFormat="1" applyFont="1" applyFill="1" applyBorder="1" applyAlignment="1">
      <alignment vertical="center"/>
    </xf>
    <xf numFmtId="4" fontId="6" fillId="12" borderId="43" xfId="0" quotePrefix="1" applyNumberFormat="1" applyFont="1" applyFill="1" applyBorder="1" applyAlignment="1">
      <alignment vertical="center"/>
    </xf>
    <xf numFmtId="4" fontId="0" fillId="12" borderId="36" xfId="0" applyNumberFormat="1" applyFill="1" applyBorder="1" applyAlignment="1">
      <alignment vertical="center"/>
    </xf>
    <xf numFmtId="4" fontId="0" fillId="12" borderId="42" xfId="0" applyNumberFormat="1" applyFill="1" applyBorder="1" applyAlignment="1">
      <alignment vertical="center"/>
    </xf>
    <xf numFmtId="4" fontId="0" fillId="12" borderId="43" xfId="0" applyNumberFormat="1" applyFill="1" applyBorder="1" applyAlignment="1">
      <alignment vertical="center"/>
    </xf>
    <xf numFmtId="4" fontId="6" fillId="12" borderId="42" xfId="0" applyNumberFormat="1" applyFont="1" applyFill="1" applyBorder="1" applyAlignment="1">
      <alignment vertical="center"/>
    </xf>
    <xf numFmtId="4" fontId="0" fillId="16" borderId="42" xfId="0" applyNumberFormat="1" applyFill="1" applyBorder="1" applyAlignment="1">
      <alignment vertical="center"/>
    </xf>
    <xf numFmtId="4" fontId="6" fillId="12" borderId="36" xfId="0" applyNumberFormat="1" applyFont="1" applyFill="1" applyBorder="1" applyAlignment="1">
      <alignment vertical="center"/>
    </xf>
    <xf numFmtId="4" fontId="6" fillId="11" borderId="34" xfId="0" applyNumberFormat="1" applyFont="1" applyFill="1" applyBorder="1" applyAlignment="1">
      <alignment vertical="center"/>
    </xf>
    <xf numFmtId="4" fontId="6" fillId="13" borderId="44" xfId="0" applyNumberFormat="1" applyFont="1" applyFill="1" applyBorder="1" applyAlignment="1">
      <alignment vertical="center"/>
    </xf>
    <xf numFmtId="4" fontId="6" fillId="13" borderId="45" xfId="0" applyNumberFormat="1" applyFont="1" applyFill="1" applyBorder="1" applyAlignment="1">
      <alignment vertical="center"/>
    </xf>
    <xf numFmtId="4" fontId="6" fillId="16" borderId="44" xfId="0" applyNumberFormat="1" applyFont="1" applyFill="1" applyBorder="1" applyAlignment="1">
      <alignment vertical="center"/>
    </xf>
    <xf numFmtId="4" fontId="6" fillId="16" borderId="45" xfId="0" applyNumberFormat="1" applyFont="1" applyFill="1" applyBorder="1" applyAlignment="1">
      <alignment vertical="center"/>
    </xf>
    <xf numFmtId="9" fontId="6" fillId="16" borderId="34" xfId="0" applyNumberFormat="1" applyFont="1" applyFill="1" applyBorder="1" applyAlignment="1">
      <alignment vertical="center"/>
    </xf>
    <xf numFmtId="0" fontId="8" fillId="0" borderId="36" xfId="0" quotePrefix="1" applyFont="1" applyBorder="1" applyAlignment="1">
      <alignment vertical="center" wrapText="1"/>
    </xf>
    <xf numFmtId="0" fontId="6" fillId="12" borderId="36" xfId="0" applyFont="1" applyFill="1" applyBorder="1" applyAlignment="1">
      <alignment horizontal="left" vertical="center"/>
    </xf>
    <xf numFmtId="0" fontId="8" fillId="0" borderId="36" xfId="0" quotePrefix="1" applyFont="1" applyBorder="1" applyAlignment="1">
      <alignment vertical="center"/>
    </xf>
    <xf numFmtId="0" fontId="23" fillId="12" borderId="36" xfId="0" quotePrefix="1" applyFont="1" applyFill="1" applyBorder="1" applyAlignment="1">
      <alignment vertical="center"/>
    </xf>
    <xf numFmtId="0" fontId="0" fillId="12" borderId="36" xfId="0" applyFill="1" applyBorder="1" applyAlignment="1">
      <alignment horizontal="center" vertical="center"/>
    </xf>
    <xf numFmtId="0" fontId="8" fillId="0" borderId="36" xfId="0" quotePrefix="1" applyFont="1" applyBorder="1" applyAlignment="1">
      <alignment horizontal="right" vertical="center"/>
    </xf>
    <xf numFmtId="0" fontId="36" fillId="0" borderId="36" xfId="0" quotePrefix="1" applyFont="1" applyBorder="1" applyAlignment="1">
      <alignment horizontal="right" vertical="center"/>
    </xf>
    <xf numFmtId="0" fontId="0" fillId="12" borderId="36" xfId="0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horizontal="left" vertical="center"/>
      <protection locked="0"/>
    </xf>
    <xf numFmtId="14" fontId="1" fillId="2" borderId="120" xfId="0" applyNumberFormat="1" applyFont="1" applyFill="1" applyBorder="1" applyAlignment="1" applyProtection="1">
      <alignment horizontal="center" vertical="center"/>
      <protection locked="0"/>
    </xf>
    <xf numFmtId="14" fontId="1" fillId="2" borderId="55" xfId="0" applyNumberFormat="1" applyFont="1" applyFill="1" applyBorder="1" applyAlignment="1" applyProtection="1">
      <alignment horizontal="center"/>
      <protection locked="0"/>
    </xf>
    <xf numFmtId="2" fontId="1" fillId="2" borderId="121" xfId="3" applyNumberFormat="1" applyFont="1" applyFill="1" applyBorder="1" applyAlignment="1" applyProtection="1">
      <alignment horizontal="right"/>
      <protection locked="0"/>
    </xf>
    <xf numFmtId="2" fontId="1" fillId="2" borderId="122" xfId="3" applyNumberFormat="1" applyFont="1" applyFill="1" applyBorder="1" applyAlignment="1" applyProtection="1">
      <alignment horizontal="right"/>
      <protection locked="0"/>
    </xf>
    <xf numFmtId="2" fontId="1" fillId="2" borderId="123" xfId="3" applyNumberFormat="1" applyFont="1" applyFill="1" applyBorder="1" applyAlignment="1" applyProtection="1">
      <alignment horizontal="right"/>
      <protection locked="0"/>
    </xf>
    <xf numFmtId="7" fontId="25" fillId="0" borderId="64" xfId="0" applyNumberFormat="1" applyFont="1" applyBorder="1" applyAlignment="1">
      <alignment horizontal="center"/>
    </xf>
    <xf numFmtId="166" fontId="1" fillId="2" borderId="124" xfId="0" applyNumberFormat="1" applyFont="1" applyFill="1" applyBorder="1" applyAlignment="1" applyProtection="1">
      <alignment horizontal="left" vertical="center"/>
      <protection locked="0"/>
    </xf>
    <xf numFmtId="4" fontId="1" fillId="0" borderId="81" xfId="3" applyNumberFormat="1" applyFont="1" applyFill="1" applyBorder="1" applyAlignment="1" applyProtection="1">
      <alignment horizontal="right"/>
      <protection locked="0"/>
    </xf>
    <xf numFmtId="4" fontId="30" fillId="0" borderId="20" xfId="3" applyNumberFormat="1" applyFont="1" applyBorder="1" applyAlignment="1">
      <alignment horizontal="right" vertical="center"/>
    </xf>
    <xf numFmtId="14" fontId="1" fillId="2" borderId="125" xfId="0" applyNumberFormat="1" applyFont="1" applyFill="1" applyBorder="1" applyAlignment="1" applyProtection="1">
      <alignment horizontal="center" vertical="center"/>
      <protection locked="0"/>
    </xf>
    <xf numFmtId="166" fontId="1" fillId="2" borderId="46" xfId="0" applyNumberFormat="1" applyFont="1" applyFill="1" applyBorder="1" applyAlignment="1" applyProtection="1">
      <alignment horizontal="left" vertical="center"/>
      <protection locked="0"/>
    </xf>
    <xf numFmtId="2" fontId="1" fillId="0" borderId="46" xfId="0" applyNumberFormat="1" applyFont="1" applyBorder="1" applyAlignment="1" applyProtection="1">
      <alignment horizontal="right"/>
      <protection locked="0"/>
    </xf>
    <xf numFmtId="2" fontId="1" fillId="0" borderId="46" xfId="3" applyNumberFormat="1" applyFont="1" applyFill="1" applyBorder="1" applyAlignment="1" applyProtection="1">
      <alignment horizontal="right"/>
      <protection locked="0"/>
    </xf>
    <xf numFmtId="2" fontId="2" fillId="2" borderId="46" xfId="3" applyNumberFormat="1" applyFont="1" applyFill="1" applyBorder="1" applyAlignment="1" applyProtection="1">
      <alignment horizontal="right"/>
      <protection locked="0"/>
    </xf>
    <xf numFmtId="2" fontId="1" fillId="2" borderId="46" xfId="3" applyNumberFormat="1" applyFont="1" applyFill="1" applyBorder="1" applyAlignment="1" applyProtection="1">
      <alignment horizontal="right"/>
      <protection locked="0"/>
    </xf>
    <xf numFmtId="2" fontId="0" fillId="0" borderId="126" xfId="0" applyNumberFormat="1" applyBorder="1" applyAlignment="1">
      <alignment horizontal="right"/>
    </xf>
    <xf numFmtId="0" fontId="40" fillId="14" borderId="27" xfId="0" applyFont="1" applyFill="1" applyBorder="1" applyAlignment="1">
      <alignment horizontal="right"/>
    </xf>
    <xf numFmtId="171" fontId="24" fillId="9" borderId="27" xfId="0" applyNumberFormat="1" applyFont="1" applyFill="1" applyBorder="1"/>
    <xf numFmtId="171" fontId="24" fillId="14" borderId="27" xfId="0" applyNumberFormat="1" applyFont="1" applyFill="1" applyBorder="1"/>
    <xf numFmtId="171" fontId="23" fillId="0" borderId="0" xfId="0" applyNumberFormat="1" applyFont="1"/>
    <xf numFmtId="0" fontId="41" fillId="0" borderId="0" xfId="0" applyFont="1"/>
    <xf numFmtId="0" fontId="23" fillId="0" borderId="0" xfId="0" applyFont="1"/>
    <xf numFmtId="0" fontId="0" fillId="0" borderId="127" xfId="0" applyBorder="1"/>
    <xf numFmtId="2" fontId="0" fillId="0" borderId="127" xfId="0" applyNumberFormat="1" applyBorder="1"/>
    <xf numFmtId="2" fontId="6" fillId="0" borderId="127" xfId="0" applyNumberFormat="1" applyFont="1" applyBorder="1"/>
    <xf numFmtId="0" fontId="0" fillId="0" borderId="40" xfId="0" applyBorder="1"/>
    <xf numFmtId="0" fontId="6" fillId="9" borderId="128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  <xf numFmtId="0" fontId="0" fillId="8" borderId="42" xfId="0" applyFill="1" applyBorder="1"/>
    <xf numFmtId="0" fontId="13" fillId="0" borderId="127" xfId="0" applyFont="1" applyBorder="1"/>
    <xf numFmtId="0" fontId="13" fillId="0" borderId="42" xfId="0" applyFont="1" applyBorder="1" applyAlignment="1">
      <alignment horizontal="center"/>
    </xf>
    <xf numFmtId="171" fontId="0" fillId="0" borderId="127" xfId="0" applyNumberFormat="1" applyBorder="1" applyAlignment="1">
      <alignment horizontal="right" vertical="center"/>
    </xf>
    <xf numFmtId="171" fontId="0" fillId="0" borderId="127" xfId="0" applyNumberFormat="1" applyBorder="1"/>
    <xf numFmtId="172" fontId="0" fillId="0" borderId="43" xfId="0" applyNumberFormat="1" applyBorder="1"/>
    <xf numFmtId="0" fontId="13" fillId="0" borderId="44" xfId="0" applyFont="1" applyBorder="1" applyAlignment="1">
      <alignment horizontal="center"/>
    </xf>
    <xf numFmtId="171" fontId="0" fillId="0" borderId="129" xfId="0" applyNumberFormat="1" applyBorder="1"/>
    <xf numFmtId="172" fontId="0" fillId="0" borderId="45" xfId="0" applyNumberFormat="1" applyBorder="1"/>
    <xf numFmtId="0" fontId="13" fillId="9" borderId="127" xfId="0" applyFont="1" applyFill="1" applyBorder="1" applyAlignment="1">
      <alignment horizontal="center" vertical="center"/>
    </xf>
    <xf numFmtId="1" fontId="6" fillId="9" borderId="127" xfId="0" applyNumberFormat="1" applyFont="1" applyFill="1" applyBorder="1" applyAlignment="1">
      <alignment horizontal="center" vertical="center"/>
    </xf>
    <xf numFmtId="173" fontId="0" fillId="0" borderId="42" xfId="0" applyNumberFormat="1" applyBorder="1" applyAlignment="1">
      <alignment horizontal="center"/>
    </xf>
    <xf numFmtId="173" fontId="0" fillId="0" borderId="44" xfId="0" applyNumberFormat="1" applyBorder="1" applyAlignment="1">
      <alignment horizontal="center"/>
    </xf>
    <xf numFmtId="4" fontId="0" fillId="9" borderId="47" xfId="0" applyNumberFormat="1" applyFill="1" applyBorder="1" applyAlignment="1">
      <alignment horizontal="center" vertical="center" wrapText="1"/>
    </xf>
    <xf numFmtId="4" fontId="0" fillId="9" borderId="48" xfId="0" applyNumberFormat="1" applyFill="1" applyBorder="1"/>
    <xf numFmtId="42" fontId="0" fillId="0" borderId="43" xfId="0" applyNumberFormat="1" applyBorder="1"/>
    <xf numFmtId="42" fontId="0" fillId="0" borderId="45" xfId="0" applyNumberFormat="1" applyBorder="1"/>
    <xf numFmtId="0" fontId="6" fillId="9" borderId="130" xfId="0" applyFont="1" applyFill="1" applyBorder="1" applyAlignment="1">
      <alignment horizontal="center" vertical="center" wrapText="1"/>
    </xf>
    <xf numFmtId="171" fontId="0" fillId="0" borderId="131" xfId="0" applyNumberFormat="1" applyBorder="1"/>
    <xf numFmtId="171" fontId="0" fillId="0" borderId="132" xfId="0" applyNumberFormat="1" applyBorder="1"/>
    <xf numFmtId="14" fontId="1" fillId="2" borderId="133" xfId="0" applyNumberFormat="1" applyFont="1" applyFill="1" applyBorder="1" applyAlignment="1" applyProtection="1">
      <alignment horizontal="center"/>
      <protection locked="0"/>
    </xf>
    <xf numFmtId="166" fontId="1" fillId="2" borderId="134" xfId="0" applyNumberFormat="1" applyFont="1" applyFill="1" applyBorder="1" applyAlignment="1" applyProtection="1">
      <alignment horizontal="left" vertical="center"/>
      <protection locked="0"/>
    </xf>
    <xf numFmtId="1" fontId="1" fillId="2" borderId="135" xfId="0" applyNumberFormat="1" applyFont="1" applyFill="1" applyBorder="1" applyAlignment="1" applyProtection="1">
      <alignment horizontal="center" vertical="center"/>
      <protection locked="0"/>
    </xf>
    <xf numFmtId="2" fontId="1" fillId="2" borderId="133" xfId="3" applyNumberFormat="1" applyFont="1" applyFill="1" applyBorder="1" applyAlignment="1" applyProtection="1">
      <alignment horizontal="right"/>
      <protection locked="0"/>
    </xf>
    <xf numFmtId="2" fontId="1" fillId="2" borderId="136" xfId="3" applyNumberFormat="1" applyFont="1" applyFill="1" applyBorder="1" applyAlignment="1" applyProtection="1">
      <alignment horizontal="right"/>
      <protection locked="0"/>
    </xf>
    <xf numFmtId="2" fontId="1" fillId="2" borderId="136" xfId="0" applyNumberFormat="1" applyFont="1" applyFill="1" applyBorder="1" applyAlignment="1" applyProtection="1">
      <alignment horizontal="right"/>
      <protection locked="0"/>
    </xf>
    <xf numFmtId="2" fontId="1" fillId="2" borderId="135" xfId="3" applyNumberFormat="1" applyFont="1" applyFill="1" applyBorder="1" applyAlignment="1" applyProtection="1">
      <alignment horizontal="right"/>
      <protection locked="0"/>
    </xf>
    <xf numFmtId="4" fontId="1" fillId="0" borderId="133" xfId="3" applyNumberFormat="1" applyFont="1" applyFill="1" applyBorder="1" applyAlignment="1" applyProtection="1">
      <alignment horizontal="right"/>
      <protection locked="0"/>
    </xf>
    <xf numFmtId="4" fontId="1" fillId="0" borderId="136" xfId="3" applyNumberFormat="1" applyFont="1" applyFill="1" applyBorder="1" applyAlignment="1" applyProtection="1">
      <alignment horizontal="right"/>
      <protection locked="0"/>
    </xf>
    <xf numFmtId="4" fontId="1" fillId="0" borderId="136" xfId="3" applyNumberFormat="1" applyFont="1" applyFill="1" applyBorder="1" applyAlignment="1" applyProtection="1">
      <alignment horizontal="right" wrapText="1"/>
      <protection locked="0"/>
    </xf>
    <xf numFmtId="4" fontId="1" fillId="0" borderId="135" xfId="3" applyNumberFormat="1" applyFont="1" applyFill="1" applyBorder="1" applyAlignment="1" applyProtection="1">
      <alignment horizontal="right"/>
      <protection locked="0"/>
    </xf>
    <xf numFmtId="4" fontId="1" fillId="0" borderId="133" xfId="0" applyNumberFormat="1" applyFont="1" applyBorder="1" applyAlignment="1" applyProtection="1">
      <alignment horizontal="right" vertical="center"/>
      <protection locked="0"/>
    </xf>
    <xf numFmtId="4" fontId="1" fillId="0" borderId="136" xfId="0" applyNumberFormat="1" applyFont="1" applyBorder="1" applyAlignment="1" applyProtection="1">
      <alignment horizontal="right" vertical="center"/>
      <protection locked="0"/>
    </xf>
    <xf numFmtId="4" fontId="30" fillId="0" borderId="136" xfId="3" applyNumberFormat="1" applyFont="1" applyBorder="1" applyAlignment="1">
      <alignment horizontal="right" vertical="center"/>
    </xf>
    <xf numFmtId="4" fontId="1" fillId="0" borderId="136" xfId="3" applyNumberFormat="1" applyFont="1" applyFill="1" applyBorder="1" applyAlignment="1" applyProtection="1">
      <alignment horizontal="right" vertical="center"/>
      <protection locked="0"/>
    </xf>
    <xf numFmtId="4" fontId="1" fillId="0" borderId="135" xfId="0" applyNumberFormat="1" applyFont="1" applyBorder="1" applyAlignment="1" applyProtection="1">
      <alignment horizontal="right" vertical="center"/>
      <protection locked="0"/>
    </xf>
    <xf numFmtId="0" fontId="1" fillId="0" borderId="136" xfId="0" applyFont="1" applyBorder="1" applyAlignment="1" applyProtection="1">
      <alignment horizontal="right" vertical="center"/>
      <protection locked="0"/>
    </xf>
    <xf numFmtId="166" fontId="1" fillId="2" borderId="137" xfId="0" applyNumberFormat="1" applyFont="1" applyFill="1" applyBorder="1" applyAlignment="1" applyProtection="1">
      <alignment horizontal="left" vertical="center"/>
      <protection locked="0"/>
    </xf>
    <xf numFmtId="14" fontId="1" fillId="2" borderId="8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/>
    <xf numFmtId="0" fontId="1" fillId="0" borderId="19" xfId="0" applyFont="1" applyBorder="1" applyAlignment="1">
      <alignment horizontal="left" vertical="center"/>
    </xf>
    <xf numFmtId="1" fontId="42" fillId="2" borderId="79" xfId="0" applyNumberFormat="1" applyFont="1" applyFill="1" applyBorder="1" applyAlignment="1" applyProtection="1">
      <alignment horizontal="center" vertical="center"/>
      <protection locked="0"/>
    </xf>
    <xf numFmtId="0" fontId="1" fillId="0" borderId="63" xfId="0" applyFont="1" applyBorder="1" applyAlignment="1">
      <alignment horizontal="right"/>
    </xf>
    <xf numFmtId="0" fontId="0" fillId="0" borderId="25" xfId="0" applyBorder="1"/>
    <xf numFmtId="0" fontId="6" fillId="7" borderId="0" xfId="0" applyFont="1" applyFill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" fillId="2" borderId="91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175" fontId="1" fillId="4" borderId="8" xfId="0" applyNumberFormat="1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 horizontal="left" vertical="center"/>
    </xf>
    <xf numFmtId="0" fontId="1" fillId="0" borderId="60" xfId="0" applyFont="1" applyBorder="1" applyAlignment="1">
      <alignment horizontal="right"/>
    </xf>
    <xf numFmtId="0" fontId="0" fillId="0" borderId="29" xfId="0" applyBorder="1"/>
    <xf numFmtId="0" fontId="1" fillId="0" borderId="23" xfId="0" applyFont="1" applyBorder="1" applyAlignment="1">
      <alignment horizontal="right"/>
    </xf>
    <xf numFmtId="0" fontId="0" fillId="0" borderId="51" xfId="0" applyBorder="1"/>
    <xf numFmtId="164" fontId="1" fillId="2" borderId="8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4" fontId="3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2" fontId="37" fillId="0" borderId="0" xfId="0" applyNumberFormat="1" applyFont="1" applyAlignment="1">
      <alignment horizontal="center"/>
    </xf>
    <xf numFmtId="174" fontId="2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1" fontId="6" fillId="0" borderId="22" xfId="0" applyNumberFormat="1" applyFont="1" applyBorder="1" applyAlignment="1">
      <alignment horizontal="center"/>
    </xf>
    <xf numFmtId="0" fontId="0" fillId="0" borderId="49" xfId="0" applyBorder="1"/>
  </cellXfs>
  <cellStyles count="5">
    <cellStyle name="Euro" xfId="1" xr:uid="{00000000-0005-0000-0000-000000000000}"/>
    <cellStyle name="Milliers" xfId="2" builtinId="3"/>
    <cellStyle name="Monétaire" xfId="3" builtinId="4"/>
    <cellStyle name="Normal" xfId="0" builtinId="0"/>
    <cellStyle name="Pourcentag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fr-FR">
                <a:solidFill>
                  <a:sysClr val="windowText" lastClr="000000"/>
                </a:solidFill>
              </a:rPr>
              <a:t>Evolution des contributions cumulées 2022/2021</a:t>
            </a:r>
          </a:p>
        </c:rich>
      </c:tx>
      <c:layout>
        <c:manualLayout>
          <c:xMode val="edge"/>
          <c:yMode val="edge"/>
          <c:x val="0.16892908626059047"/>
          <c:y val="1.8249599331057069E-2"/>
        </c:manualLayout>
      </c:layout>
      <c:overlay val="0"/>
      <c:spPr>
        <a:solidFill>
          <a:schemeClr val="accent5">
            <a:lumMod val="40000"/>
            <a:lumOff val="60000"/>
          </a:schemeClr>
        </a:solidFill>
        <a:ln>
          <a:solidFill>
            <a:schemeClr val="accent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04032513864054"/>
          <c:y val="0.1240857199266021"/>
          <c:w val="0.88074631208612919"/>
          <c:h val="0.68723608110933032"/>
        </c:manualLayout>
      </c:layout>
      <c:lineChart>
        <c:grouping val="standard"/>
        <c:varyColors val="0"/>
        <c:ser>
          <c:idx val="0"/>
          <c:order val="0"/>
          <c:tx>
            <c:strRef>
              <c:f>STAT1!$C$3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0B-470A-BCAD-A089265510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B-470A-BCAD-A089265510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0B-470A-BCAD-A089265510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B-470A-BCAD-A089265510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0B-470A-BCAD-A089265510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B-470A-BCAD-A089265510E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0B-470A-BCAD-A089265510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B-470A-BCAD-A089265510E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0B-470A-BCAD-A089265510E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B-470A-BCAD-A089265510E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0B-470A-BCAD-A089265510E3}"/>
                </c:ext>
              </c:extLst>
            </c:dLbl>
            <c:numFmt formatCode="#,##0\ &quot;€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STAT1!$C$4:$C$15</c:f>
              <c:numCache>
                <c:formatCode>#,##0.00\ "€"</c:formatCode>
                <c:ptCount val="12"/>
                <c:pt idx="0">
                  <c:v>765</c:v>
                </c:pt>
                <c:pt idx="1">
                  <c:v>2216.19</c:v>
                </c:pt>
                <c:pt idx="2">
                  <c:v>4449.71</c:v>
                </c:pt>
                <c:pt idx="3">
                  <c:v>6512.23</c:v>
                </c:pt>
                <c:pt idx="4">
                  <c:v>7997.5099999999993</c:v>
                </c:pt>
                <c:pt idx="5">
                  <c:v>9585.7999999999993</c:v>
                </c:pt>
                <c:pt idx="6">
                  <c:v>11521.71</c:v>
                </c:pt>
                <c:pt idx="7">
                  <c:v>13060.619999999999</c:v>
                </c:pt>
                <c:pt idx="8">
                  <c:v>14759.91</c:v>
                </c:pt>
                <c:pt idx="9">
                  <c:v>15895.29</c:v>
                </c:pt>
                <c:pt idx="10">
                  <c:v>17808.45</c:v>
                </c:pt>
                <c:pt idx="11">
                  <c:v>19233.2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A0B-470A-BCAD-A089265510E3}"/>
            </c:ext>
          </c:extLst>
        </c:ser>
        <c:ser>
          <c:idx val="1"/>
          <c:order val="1"/>
          <c:tx>
            <c:strRef>
              <c:f>STAT1!$E$3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C00000"/>
              </a:solidFill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0-4996-9DEF-4BAB83DA88F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90-4996-9DEF-4BAB83DA88F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90-4996-9DEF-4BAB83DA88F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0-4996-9DEF-4BAB83DA88F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90-4996-9DEF-4BAB83DA88F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0-4996-9DEF-4BAB83DA88F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90-4996-9DEF-4BAB83DA88F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0-4996-9DEF-4BAB83DA88F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90-4996-9DEF-4BAB83DA88F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0-4996-9DEF-4BAB83DA88F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59-4F0F-8E63-30BD7AA659AD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STAT1!$E$4:$E$15</c:f>
              <c:numCache>
                <c:formatCode>#,##0.00\ "€"</c:formatCode>
                <c:ptCount val="12"/>
                <c:pt idx="0">
                  <c:v>758.92000000000007</c:v>
                </c:pt>
                <c:pt idx="1">
                  <c:v>1768.2400000000002</c:v>
                </c:pt>
                <c:pt idx="2">
                  <c:v>5387.380000000001</c:v>
                </c:pt>
                <c:pt idx="3">
                  <c:v>7057.920000000001</c:v>
                </c:pt>
                <c:pt idx="4">
                  <c:v>9208.5600000000013</c:v>
                </c:pt>
                <c:pt idx="5">
                  <c:v>10573.79</c:v>
                </c:pt>
                <c:pt idx="6">
                  <c:v>12269.880000000001</c:v>
                </c:pt>
                <c:pt idx="7">
                  <c:v>13879.53</c:v>
                </c:pt>
                <c:pt idx="8">
                  <c:v>15531.1</c:v>
                </c:pt>
                <c:pt idx="9">
                  <c:v>17334.510000000002</c:v>
                </c:pt>
                <c:pt idx="10">
                  <c:v>19121.410000000003</c:v>
                </c:pt>
                <c:pt idx="11">
                  <c:v>21280.660000000003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A0B-470A-BCAD-A089265510E3}"/>
            </c:ext>
          </c:extLst>
        </c:ser>
        <c:ser>
          <c:idx val="2"/>
          <c:order val="2"/>
          <c:tx>
            <c:strRef>
              <c:f>STAT1!$H$3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dLbls>
            <c:dLbl>
              <c:idx val="11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92D050"/>
                      </a:solidFill>
                    </a:defRPr>
                  </a:pPr>
                  <a:endParaRPr lang="fr-F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B-470A-BCAD-A089265510E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STAT1!$H$4:$H$15</c:f>
              <c:numCache>
                <c:formatCode>#,##0\ "€"</c:formatCode>
                <c:ptCount val="12"/>
                <c:pt idx="0">
                  <c:v>1500</c:v>
                </c:pt>
                <c:pt idx="1">
                  <c:v>3000</c:v>
                </c:pt>
                <c:pt idx="2">
                  <c:v>4500</c:v>
                </c:pt>
                <c:pt idx="3">
                  <c:v>6000</c:v>
                </c:pt>
                <c:pt idx="4">
                  <c:v>7500</c:v>
                </c:pt>
                <c:pt idx="5">
                  <c:v>9000</c:v>
                </c:pt>
                <c:pt idx="6">
                  <c:v>10500</c:v>
                </c:pt>
                <c:pt idx="7">
                  <c:v>12000</c:v>
                </c:pt>
                <c:pt idx="8">
                  <c:v>13500</c:v>
                </c:pt>
                <c:pt idx="9">
                  <c:v>15000</c:v>
                </c:pt>
                <c:pt idx="10">
                  <c:v>16500</c:v>
                </c:pt>
                <c:pt idx="11">
                  <c:v>18000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0B-470A-BCAD-A0892655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37184"/>
        <c:axId val="1"/>
      </c:lineChart>
      <c:catAx>
        <c:axId val="48713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7137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955964437926059E-3"/>
          <c:y val="0.93586945160615986"/>
          <c:w val="0.57818000598026509"/>
          <c:h val="5.966221866072050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fr-FR">
                <a:solidFill>
                  <a:sysClr val="windowText" lastClr="000000"/>
                </a:solidFill>
              </a:rPr>
              <a:t>Montant mensuel des contributions 2022/2021</a:t>
            </a:r>
          </a:p>
        </c:rich>
      </c:tx>
      <c:layout>
        <c:manualLayout>
          <c:xMode val="edge"/>
          <c:yMode val="edge"/>
          <c:x val="0.18244567789682029"/>
          <c:y val="1.3452929708162678E-2"/>
        </c:manualLayout>
      </c:layout>
      <c:overlay val="0"/>
      <c:spPr>
        <a:solidFill>
          <a:schemeClr val="accent5">
            <a:lumMod val="40000"/>
            <a:lumOff val="60000"/>
          </a:schemeClr>
        </a:solidFill>
        <a:ln>
          <a:solidFill>
            <a:schemeClr val="accent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59848775997211"/>
          <c:y val="0.14976714746939818"/>
          <c:w val="0.85595865066047072"/>
          <c:h val="0.62148775927345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STAT1!$D$3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STAT1!$D$4:$D$15</c:f>
              <c:numCache>
                <c:formatCode>#,##0.00\ "€"</c:formatCode>
                <c:ptCount val="12"/>
                <c:pt idx="0">
                  <c:v>765</c:v>
                </c:pt>
                <c:pt idx="1">
                  <c:v>1451.19</c:v>
                </c:pt>
                <c:pt idx="2">
                  <c:v>2233.52</c:v>
                </c:pt>
                <c:pt idx="3">
                  <c:v>2062.52</c:v>
                </c:pt>
                <c:pt idx="4">
                  <c:v>1485.28</c:v>
                </c:pt>
                <c:pt idx="5">
                  <c:v>1588.2900000000002</c:v>
                </c:pt>
                <c:pt idx="6">
                  <c:v>1935.9099999999999</c:v>
                </c:pt>
                <c:pt idx="7">
                  <c:v>1538.91</c:v>
                </c:pt>
                <c:pt idx="8">
                  <c:v>1699.29</c:v>
                </c:pt>
                <c:pt idx="9">
                  <c:v>1135.3800000000001</c:v>
                </c:pt>
                <c:pt idx="10">
                  <c:v>1913.16</c:v>
                </c:pt>
                <c:pt idx="11">
                  <c:v>1424.7500000000002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2-4E07-A224-6B428A336FCF}"/>
            </c:ext>
          </c:extLst>
        </c:ser>
        <c:ser>
          <c:idx val="1"/>
          <c:order val="2"/>
          <c:tx>
            <c:strRef>
              <c:f>STAT1!$F$3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STAT1!$F$4:$F$15</c:f>
              <c:numCache>
                <c:formatCode>#,##0.00\ "€"</c:formatCode>
                <c:ptCount val="12"/>
                <c:pt idx="0">
                  <c:v>758.92000000000007</c:v>
                </c:pt>
                <c:pt idx="1">
                  <c:v>1009.32</c:v>
                </c:pt>
                <c:pt idx="2">
                  <c:v>3619.1400000000003</c:v>
                </c:pt>
                <c:pt idx="3">
                  <c:v>1670.54</c:v>
                </c:pt>
                <c:pt idx="4">
                  <c:v>2150.64</c:v>
                </c:pt>
                <c:pt idx="5">
                  <c:v>1365.23</c:v>
                </c:pt>
                <c:pt idx="6">
                  <c:v>1696.09</c:v>
                </c:pt>
                <c:pt idx="7">
                  <c:v>1609.6499999999999</c:v>
                </c:pt>
                <c:pt idx="8">
                  <c:v>1651.57</c:v>
                </c:pt>
                <c:pt idx="9">
                  <c:v>1803.41</c:v>
                </c:pt>
                <c:pt idx="10">
                  <c:v>1786.8999999999999</c:v>
                </c:pt>
                <c:pt idx="11">
                  <c:v>2159.25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2-4E07-A224-6B428A336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7156320"/>
        <c:axId val="1"/>
      </c:barChart>
      <c:lineChart>
        <c:grouping val="standard"/>
        <c:varyColors val="0"/>
        <c:ser>
          <c:idx val="2"/>
          <c:order val="1"/>
          <c:tx>
            <c:strRef>
              <c:f>STAT1!$G$3</c:f>
              <c:strCache>
                <c:ptCount val="1"/>
                <c:pt idx="0">
                  <c:v>Budget 2022</c:v>
                </c:pt>
              </c:strCache>
            </c:strRef>
          </c:tx>
          <c:spPr>
            <a:ln cap="rnd">
              <a:solidFill>
                <a:schemeClr val="accent3">
                  <a:shade val="95000"/>
                  <a:satMod val="105000"/>
                </a:schemeClr>
              </a:solidFill>
              <a:prstDash val="sysDot"/>
              <a:round/>
              <a:headEnd type="none"/>
            </a:ln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8EF4-431F-A599-5F376F786DE1}"/>
              </c:ext>
            </c:extLst>
          </c:dPt>
          <c:cat>
            <c:strRef>
              <c:f>STAT1!$B$4:$B$15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STAT1!$G$4:$G$15</c:f>
              <c:numCache>
                <c:formatCode>#,##0.00\ "€"</c:formatCode>
                <c:ptCount val="12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4-431F-A599-5F376F786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56320"/>
        <c:axId val="1"/>
      </c:lineChart>
      <c:catAx>
        <c:axId val="4871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7156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585892625186375E-3"/>
          <c:y val="0.90241103808191503"/>
          <c:w val="0.47055346194566144"/>
          <c:h val="9.75890181868859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400" b="1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Bilan Trésorerie à fin Décembre/Budget 2022  </a:t>
            </a:r>
          </a:p>
        </c:rich>
      </c:tx>
      <c:layout>
        <c:manualLayout>
          <c:xMode val="edge"/>
          <c:yMode val="edge"/>
          <c:x val="0.4002886902863515"/>
          <c:y val="1.9476656327050028E-2"/>
        </c:manualLayout>
      </c:layout>
      <c:overlay val="0"/>
      <c:spPr>
        <a:solidFill>
          <a:schemeClr val="accent5">
            <a:lumMod val="40000"/>
            <a:lumOff val="60000"/>
          </a:schemeClr>
        </a:solidFill>
        <a:ln>
          <a:solidFill>
            <a:srgbClr val="0070C0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12270341207349"/>
          <c:y val="0.19226300452600906"/>
          <c:w val="0.82321062992125971"/>
          <c:h val="0.6716922933845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STAT1!$J$3</c:f>
              <c:strCache>
                <c:ptCount val="1"/>
                <c:pt idx="0">
                  <c:v>Cpt courant+Liquidité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numFmt formatCode="#,##0.00\ &quot;€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STAT1!$K$2:$L$2</c:f>
              <c:strCache>
                <c:ptCount val="2"/>
                <c:pt idx="0">
                  <c:v>Budget</c:v>
                </c:pt>
                <c:pt idx="1">
                  <c:v>2022</c:v>
                </c:pt>
              </c:strCache>
            </c:strRef>
          </c:cat>
          <c:val>
            <c:numRef>
              <c:f>STAT1!$K$3:$L$3</c:f>
              <c:numCache>
                <c:formatCode>#,##0.00\ "€"</c:formatCode>
                <c:ptCount val="2"/>
                <c:pt idx="0">
                  <c:v>8854.2400000000052</c:v>
                </c:pt>
                <c:pt idx="1">
                  <c:v>11041.410000000007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B-4DD9-B28C-38E38DA517A0}"/>
            </c:ext>
          </c:extLst>
        </c:ser>
        <c:ser>
          <c:idx val="1"/>
          <c:order val="1"/>
          <c:tx>
            <c:strRef>
              <c:f>STAT1!$J$4</c:f>
              <c:strCache>
                <c:ptCount val="1"/>
                <c:pt idx="0">
                  <c:v>Prudente réserve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numFmt formatCode="#,##0.00\ &quot;€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STAT1!$K$2:$L$2</c:f>
              <c:strCache>
                <c:ptCount val="2"/>
                <c:pt idx="0">
                  <c:v>Budget</c:v>
                </c:pt>
                <c:pt idx="1">
                  <c:v>2022</c:v>
                </c:pt>
              </c:strCache>
            </c:strRef>
          </c:cat>
          <c:val>
            <c:numRef>
              <c:f>STAT1!$K$4:$L$4</c:f>
              <c:numCache>
                <c:formatCode>#,##0.00\ "€"</c:formatCode>
                <c:ptCount val="2"/>
                <c:pt idx="0">
                  <c:v>6799.9999999999991</c:v>
                </c:pt>
                <c:pt idx="1">
                  <c:v>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B-4DD9-B28C-38E38DA517A0}"/>
            </c:ext>
          </c:extLst>
        </c:ser>
        <c:ser>
          <c:idx val="2"/>
          <c:order val="2"/>
          <c:tx>
            <c:strRef>
              <c:f>STAT1!$J$5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numFmt formatCode="#,##0.00\ &quot;€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STAT1!$K$2:$L$2</c:f>
              <c:strCache>
                <c:ptCount val="2"/>
                <c:pt idx="0">
                  <c:v>Budget</c:v>
                </c:pt>
                <c:pt idx="1">
                  <c:v>2022</c:v>
                </c:pt>
              </c:strCache>
            </c:strRef>
          </c:cat>
          <c:val>
            <c:numRef>
              <c:f>STAT1!$K$5:$L$5</c:f>
              <c:numCache>
                <c:formatCode>#,##0.00\ "€"</c:formatCode>
                <c:ptCount val="2"/>
                <c:pt idx="0">
                  <c:v>15654.240000000005</c:v>
                </c:pt>
                <c:pt idx="1">
                  <c:v>17841.410000000007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CB-4DD9-B28C-38E38DA517A0}"/>
            </c:ext>
          </c:extLst>
        </c:ser>
        <c:ser>
          <c:idx val="3"/>
          <c:order val="3"/>
          <c:tx>
            <c:strRef>
              <c:f>STAT1!$J$6</c:f>
              <c:strCache>
                <c:ptCount val="1"/>
                <c:pt idx="0">
                  <c:v>TOTAL+Delta Littérature</c:v>
                </c:pt>
              </c:strCache>
            </c:strRef>
          </c:tx>
          <c:invertIfNegative val="0"/>
          <c:dLbls>
            <c:numFmt formatCode="#,##0.00\ &quot;€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STAT1!$K$2:$L$2</c:f>
              <c:strCache>
                <c:ptCount val="2"/>
                <c:pt idx="0">
                  <c:v>Budget</c:v>
                </c:pt>
                <c:pt idx="1">
                  <c:v>2022</c:v>
                </c:pt>
              </c:strCache>
            </c:strRef>
          </c:cat>
          <c:val>
            <c:numRef>
              <c:f>STAT1!$K$6:$L$6</c:f>
              <c:numCache>
                <c:formatCode>#,##0.00\ "€"</c:formatCode>
                <c:ptCount val="2"/>
                <c:pt idx="0">
                  <c:v>15654.240000000005</c:v>
                </c:pt>
                <c:pt idx="1">
                  <c:v>18130.710000000003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3D-43F5-A583-A74E59AE1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149664"/>
        <c:axId val="1"/>
      </c:barChart>
      <c:catAx>
        <c:axId val="48714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7149664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711047482701033"/>
          <c:y val="0.88427561939372967"/>
          <c:w val="0.47265926986399426"/>
          <c:h val="9.7409362291252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ysClr val="windowText" lastClr="000000"/>
                </a:solidFill>
              </a:rPr>
              <a:t>Ventes Littérature 2022/2021</a:t>
            </a:r>
          </a:p>
        </c:rich>
      </c:tx>
      <c:layout>
        <c:manualLayout>
          <c:xMode val="edge"/>
          <c:yMode val="edge"/>
          <c:x val="0.28802772202494298"/>
          <c:y val="1.5968201090248334E-2"/>
        </c:manualLayout>
      </c:layout>
      <c:overlay val="0"/>
      <c:spPr>
        <a:solidFill>
          <a:schemeClr val="accent5">
            <a:lumMod val="40000"/>
            <a:lumOff val="60000"/>
          </a:schemeClr>
        </a:solidFill>
        <a:ln>
          <a:solidFill>
            <a:srgbClr val="0070C0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30936132983377"/>
          <c:y val="0.11776097590073968"/>
          <c:w val="0.8722461942257218"/>
          <c:h val="0.7084517418277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STAT1!$C$18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STAT1!$B$19:$B$30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STAT1!$C$19:$C$30</c:f>
              <c:numCache>
                <c:formatCode>0.00</c:formatCode>
                <c:ptCount val="12"/>
                <c:pt idx="0">
                  <c:v>136</c:v>
                </c:pt>
                <c:pt idx="1">
                  <c:v>536</c:v>
                </c:pt>
                <c:pt idx="2">
                  <c:v>471</c:v>
                </c:pt>
                <c:pt idx="3">
                  <c:v>233.5</c:v>
                </c:pt>
                <c:pt idx="4">
                  <c:v>275.5</c:v>
                </c:pt>
                <c:pt idx="5">
                  <c:v>136</c:v>
                </c:pt>
                <c:pt idx="6">
                  <c:v>1262.0999999999999</c:v>
                </c:pt>
                <c:pt idx="7">
                  <c:v>903</c:v>
                </c:pt>
                <c:pt idx="8">
                  <c:v>1040.45</c:v>
                </c:pt>
                <c:pt idx="9">
                  <c:v>1149</c:v>
                </c:pt>
                <c:pt idx="10">
                  <c:v>1956.3</c:v>
                </c:pt>
                <c:pt idx="11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A-4A45-8B5B-74D6A6177B2B}"/>
            </c:ext>
          </c:extLst>
        </c:ser>
        <c:ser>
          <c:idx val="1"/>
          <c:order val="1"/>
          <c:tx>
            <c:strRef>
              <c:f>STAT1!$D$18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strRef>
              <c:f>STAT1!$B$19:$B$30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STAT1!$D$19:$D$30</c:f>
              <c:numCache>
                <c:formatCode>0.00</c:formatCode>
                <c:ptCount val="12"/>
                <c:pt idx="0">
                  <c:v>1463.5</c:v>
                </c:pt>
                <c:pt idx="1">
                  <c:v>2097.5</c:v>
                </c:pt>
                <c:pt idx="2">
                  <c:v>1289.9000000000001</c:v>
                </c:pt>
                <c:pt idx="3">
                  <c:v>1018.1</c:v>
                </c:pt>
                <c:pt idx="4">
                  <c:v>1678.4</c:v>
                </c:pt>
                <c:pt idx="5">
                  <c:v>1892.75</c:v>
                </c:pt>
                <c:pt idx="6">
                  <c:v>1486.1</c:v>
                </c:pt>
                <c:pt idx="7">
                  <c:v>1133</c:v>
                </c:pt>
                <c:pt idx="8">
                  <c:v>2119.9</c:v>
                </c:pt>
                <c:pt idx="9">
                  <c:v>881.1</c:v>
                </c:pt>
                <c:pt idx="10">
                  <c:v>1336.3</c:v>
                </c:pt>
                <c:pt idx="11">
                  <c:v>1219.1000000000001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A-4A45-8B5B-74D6A6177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7134272"/>
        <c:axId val="1"/>
      </c:barChart>
      <c:lineChart>
        <c:grouping val="standard"/>
        <c:varyColors val="0"/>
        <c:ser>
          <c:idx val="2"/>
          <c:order val="2"/>
          <c:tx>
            <c:strRef>
              <c:f>STAT1!$E$18</c:f>
              <c:strCache>
                <c:ptCount val="1"/>
                <c:pt idx="0">
                  <c:v>Budget 2022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val>
            <c:numRef>
              <c:f>STAT1!$E$19:$E$30</c:f>
              <c:numCache>
                <c:formatCode>0.00</c:formatCode>
                <c:ptCount val="12"/>
                <c:pt idx="0">
                  <c:v>758.33333333333337</c:v>
                </c:pt>
                <c:pt idx="1">
                  <c:v>758.33333333333337</c:v>
                </c:pt>
                <c:pt idx="2">
                  <c:v>758.33333333333337</c:v>
                </c:pt>
                <c:pt idx="3">
                  <c:v>758.33333333333337</c:v>
                </c:pt>
                <c:pt idx="4">
                  <c:v>758.33333333333337</c:v>
                </c:pt>
                <c:pt idx="5">
                  <c:v>758.33333333333337</c:v>
                </c:pt>
                <c:pt idx="6">
                  <c:v>758.33333333333337</c:v>
                </c:pt>
                <c:pt idx="7">
                  <c:v>758.33333333333337</c:v>
                </c:pt>
                <c:pt idx="8">
                  <c:v>758.33333333333337</c:v>
                </c:pt>
                <c:pt idx="9">
                  <c:v>758.33333333333337</c:v>
                </c:pt>
                <c:pt idx="10">
                  <c:v>758.33333333333337</c:v>
                </c:pt>
                <c:pt idx="11">
                  <c:v>758.33333333333337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7-464B-8BF6-225F1E14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34272"/>
        <c:axId val="1"/>
      </c:lineChart>
      <c:catAx>
        <c:axId val="4871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7134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565335947792505E-2"/>
          <c:y val="0.92587389400913134"/>
          <c:w val="0.51167468366065127"/>
          <c:h val="7.41261035552374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ysClr val="windowText" lastClr="000000"/>
                </a:solidFill>
              </a:rPr>
              <a:t>Valorisation du stock Littérature 2022</a:t>
            </a:r>
          </a:p>
        </c:rich>
      </c:tx>
      <c:overlay val="0"/>
      <c:spPr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60000"/>
              <a:lumOff val="40000"/>
            </a:schemeClr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55322186506443"/>
          <c:y val="0.15493266501958136"/>
          <c:w val="0.84819983708932933"/>
          <c:h val="0.70407712862077343"/>
        </c:manualLayout>
      </c:layout>
      <c:lineChart>
        <c:grouping val="standard"/>
        <c:varyColors val="0"/>
        <c:ser>
          <c:idx val="0"/>
          <c:order val="0"/>
          <c:tx>
            <c:strRef>
              <c:f>STAT1!$C$35:$C$47</c:f>
              <c:strCache>
                <c:ptCount val="13"/>
                <c:pt idx="0">
                  <c:v>1-janv.</c:v>
                </c:pt>
                <c:pt idx="1">
                  <c:v>1-févr.</c:v>
                </c:pt>
                <c:pt idx="2">
                  <c:v>1-mars</c:v>
                </c:pt>
                <c:pt idx="3">
                  <c:v>1-avr.</c:v>
                </c:pt>
                <c:pt idx="4">
                  <c:v>1-mai</c:v>
                </c:pt>
                <c:pt idx="5">
                  <c:v>1-juin</c:v>
                </c:pt>
                <c:pt idx="6">
                  <c:v>1-juil.</c:v>
                </c:pt>
                <c:pt idx="7">
                  <c:v>1-août</c:v>
                </c:pt>
                <c:pt idx="8">
                  <c:v>1-sept.</c:v>
                </c:pt>
                <c:pt idx="9">
                  <c:v>1-oct.</c:v>
                </c:pt>
                <c:pt idx="10">
                  <c:v>1-nov.</c:v>
                </c:pt>
                <c:pt idx="11">
                  <c:v>1-déc.</c:v>
                </c:pt>
                <c:pt idx="12">
                  <c:v>1-janv.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43-47B7-B781-66BA9D0D7F5B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43-47B7-B781-66BA9D0D7F5B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43-47B7-B781-66BA9D0D7F5B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16-4DA2-91D1-E0247B879DD4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43-47B7-B781-66BA9D0D7F5B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DE-48B6-A447-15B7986E7063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16-4DA2-91D1-E0247B879DD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STAT1!$C$35:$C$47</c:f>
              <c:numCache>
                <c:formatCode>[$-40C]d\-mmm;@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STAT1!$D$35:$D$47</c:f>
              <c:numCache>
                <c:formatCode>_("€"* #,##0_);_("€"* \(#,##0\);_("€"* "-"_);_(@_)</c:formatCode>
                <c:ptCount val="13"/>
                <c:pt idx="0">
                  <c:v>7238.7</c:v>
                </c:pt>
                <c:pt idx="1">
                  <c:v>6140.01</c:v>
                </c:pt>
                <c:pt idx="2">
                  <c:v>6324.01</c:v>
                </c:pt>
                <c:pt idx="3">
                  <c:v>6458.49</c:v>
                </c:pt>
                <c:pt idx="4">
                  <c:v>6425.8899999999994</c:v>
                </c:pt>
                <c:pt idx="5">
                  <c:v>4747.49</c:v>
                </c:pt>
                <c:pt idx="6">
                  <c:v>6425.6999999999989</c:v>
                </c:pt>
                <c:pt idx="7">
                  <c:v>6980.0999999999985</c:v>
                </c:pt>
                <c:pt idx="8">
                  <c:v>5847.0999999999985</c:v>
                </c:pt>
                <c:pt idx="9">
                  <c:v>9047.4299999999985</c:v>
                </c:pt>
                <c:pt idx="10">
                  <c:v>8166.3299999999981</c:v>
                </c:pt>
                <c:pt idx="11">
                  <c:v>6762.8399999999983</c:v>
                </c:pt>
                <c:pt idx="12">
                  <c:v>7527.9999999999982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74B-4197-B949-577E3F8A3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45504"/>
        <c:axId val="1"/>
      </c:lineChart>
      <c:dateAx>
        <c:axId val="487145504"/>
        <c:scaling>
          <c:orientation val="minMax"/>
        </c:scaling>
        <c:delete val="0"/>
        <c:axPos val="b"/>
        <c:numFmt formatCode="[$-40C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7145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373380</xdr:colOff>
      <xdr:row>21</xdr:row>
      <xdr:rowOff>30480</xdr:rowOff>
    </xdr:from>
    <xdr:to>
      <xdr:col>13</xdr:col>
      <xdr:colOff>45720</xdr:colOff>
      <xdr:row>36</xdr:row>
      <xdr:rowOff>83820</xdr:rowOff>
    </xdr:to>
    <xdr:graphicFrame macro="">
      <xdr:nvGraphicFramePr>
        <xdr:cNvPr id="6807358" name="Graphique 1">
          <a:extLst>
            <a:ext uri="{FF2B5EF4-FFF2-40B4-BE49-F238E27FC236}">
              <a16:creationId xmlns:a16="http://schemas.microsoft.com/office/drawing/2014/main" id="{E5E4145E-3AC4-41D6-BB0D-DC6873532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83820</xdr:colOff>
      <xdr:row>21</xdr:row>
      <xdr:rowOff>30480</xdr:rowOff>
    </xdr:from>
    <xdr:to>
      <xdr:col>7</xdr:col>
      <xdr:colOff>274320</xdr:colOff>
      <xdr:row>36</xdr:row>
      <xdr:rowOff>83820</xdr:rowOff>
    </xdr:to>
    <xdr:graphicFrame macro="">
      <xdr:nvGraphicFramePr>
        <xdr:cNvPr id="6807359" name="Graphique 3">
          <a:extLst>
            <a:ext uri="{FF2B5EF4-FFF2-40B4-BE49-F238E27FC236}">
              <a16:creationId xmlns:a16="http://schemas.microsoft.com/office/drawing/2014/main" id="{68C92459-6C9B-453C-9772-F7F93537D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60960</xdr:colOff>
      <xdr:row>0</xdr:row>
      <xdr:rowOff>22860</xdr:rowOff>
    </xdr:from>
    <xdr:to>
      <xdr:col>9</xdr:col>
      <xdr:colOff>403860</xdr:colOff>
      <xdr:row>20</xdr:row>
      <xdr:rowOff>167640</xdr:rowOff>
    </xdr:to>
    <xdr:graphicFrame macro="">
      <xdr:nvGraphicFramePr>
        <xdr:cNvPr id="6807360" name="Graphique 1">
          <a:extLst>
            <a:ext uri="{FF2B5EF4-FFF2-40B4-BE49-F238E27FC236}">
              <a16:creationId xmlns:a16="http://schemas.microsoft.com/office/drawing/2014/main" id="{A5AE712F-BB88-4525-8138-CBC5276B5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</xdr:colOff>
      <xdr:row>36</xdr:row>
      <xdr:rowOff>167640</xdr:rowOff>
    </xdr:from>
    <xdr:to>
      <xdr:col>7</xdr:col>
      <xdr:colOff>266700</xdr:colOff>
      <xdr:row>55</xdr:row>
      <xdr:rowOff>38100</xdr:rowOff>
    </xdr:to>
    <xdr:graphicFrame macro="">
      <xdr:nvGraphicFramePr>
        <xdr:cNvPr id="6807361" name="Graphique 1">
          <a:extLst>
            <a:ext uri="{FF2B5EF4-FFF2-40B4-BE49-F238E27FC236}">
              <a16:creationId xmlns:a16="http://schemas.microsoft.com/office/drawing/2014/main" id="{4F64A827-F15D-437C-9CDA-8EE6BAFBA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358140</xdr:colOff>
      <xdr:row>36</xdr:row>
      <xdr:rowOff>167640</xdr:rowOff>
    </xdr:from>
    <xdr:to>
      <xdr:col>13</xdr:col>
      <xdr:colOff>22860</xdr:colOff>
      <xdr:row>55</xdr:row>
      <xdr:rowOff>60960</xdr:rowOff>
    </xdr:to>
    <xdr:graphicFrame macro="">
      <xdr:nvGraphicFramePr>
        <xdr:cNvPr id="6807362" name="Graphique 1">
          <a:extLst>
            <a:ext uri="{FF2B5EF4-FFF2-40B4-BE49-F238E27FC236}">
              <a16:creationId xmlns:a16="http://schemas.microsoft.com/office/drawing/2014/main" id="{70D212DD-DED8-4C2E-B222-115392BDE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I1139"/>
  <sheetViews>
    <sheetView showGridLines="0" topLeftCell="A6" workbookViewId="0">
      <selection activeCell="E38" sqref="E38"/>
    </sheetView>
  </sheetViews>
  <sheetFormatPr baseColWidth="10" defaultColWidth="10.81640625" defaultRowHeight="10.5" x14ac:dyDescent="0.25"/>
  <cols>
    <col min="1" max="1" width="10.81640625" style="58"/>
    <col min="2" max="2" width="31.9062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73">
        <v>7</v>
      </c>
      <c r="B2" s="380" t="s">
        <v>153</v>
      </c>
      <c r="C2" s="205"/>
      <c r="D2" s="204"/>
      <c r="E2" s="219">
        <v>32.5</v>
      </c>
      <c r="F2" s="204">
        <f t="shared" ref="F2:F35" si="0">SUM(C2:E2)</f>
        <v>32.5</v>
      </c>
      <c r="G2" s="211" t="s">
        <v>145</v>
      </c>
    </row>
    <row r="3" spans="1:35" ht="13" x14ac:dyDescent="0.3">
      <c r="A3" s="273">
        <v>44568</v>
      </c>
      <c r="B3" s="380" t="s">
        <v>155</v>
      </c>
      <c r="C3" s="205"/>
      <c r="D3" s="204">
        <v>30</v>
      </c>
      <c r="E3" s="219"/>
      <c r="F3" s="204">
        <f>SUM(C3:E3)</f>
        <v>30</v>
      </c>
      <c r="G3" s="211" t="s">
        <v>145</v>
      </c>
    </row>
    <row r="4" spans="1:35" ht="13" x14ac:dyDescent="0.3">
      <c r="A4" s="273">
        <v>44568</v>
      </c>
      <c r="B4" s="380" t="s">
        <v>156</v>
      </c>
      <c r="C4" s="205"/>
      <c r="D4" s="204"/>
      <c r="E4" s="219">
        <v>1</v>
      </c>
      <c r="F4" s="202">
        <f t="shared" si="0"/>
        <v>1</v>
      </c>
      <c r="G4" s="211" t="s">
        <v>145</v>
      </c>
    </row>
    <row r="5" spans="1:35" ht="13" x14ac:dyDescent="0.3">
      <c r="A5" s="273">
        <v>44568</v>
      </c>
      <c r="B5" s="380" t="s">
        <v>157</v>
      </c>
      <c r="C5" s="205"/>
      <c r="D5" s="204"/>
      <c r="E5" s="219">
        <v>12</v>
      </c>
      <c r="F5" s="202">
        <f t="shared" si="0"/>
        <v>12</v>
      </c>
      <c r="G5" s="211" t="s">
        <v>145</v>
      </c>
    </row>
    <row r="6" spans="1:35" ht="13" x14ac:dyDescent="0.3">
      <c r="A6" s="273">
        <v>44568</v>
      </c>
      <c r="B6" s="380" t="s">
        <v>158</v>
      </c>
      <c r="C6" s="205"/>
      <c r="D6" s="204">
        <v>97</v>
      </c>
      <c r="E6" s="219"/>
      <c r="F6" s="202">
        <f t="shared" si="0"/>
        <v>97</v>
      </c>
      <c r="G6" s="211" t="s">
        <v>145</v>
      </c>
    </row>
    <row r="7" spans="1:35" ht="13" x14ac:dyDescent="0.3">
      <c r="A7" s="273">
        <v>44568</v>
      </c>
      <c r="B7" s="380" t="s">
        <v>159</v>
      </c>
      <c r="C7" s="205"/>
      <c r="D7" s="204"/>
      <c r="E7" s="219">
        <v>2</v>
      </c>
      <c r="F7" s="202">
        <f t="shared" si="0"/>
        <v>2</v>
      </c>
      <c r="G7" s="211" t="s">
        <v>145</v>
      </c>
    </row>
    <row r="8" spans="1:35" ht="13" x14ac:dyDescent="0.3">
      <c r="A8" s="273">
        <v>44568</v>
      </c>
      <c r="B8" s="380" t="s">
        <v>160</v>
      </c>
      <c r="C8" s="205"/>
      <c r="D8" s="204"/>
      <c r="E8" s="219">
        <v>66</v>
      </c>
      <c r="F8" s="202">
        <f t="shared" si="0"/>
        <v>66</v>
      </c>
      <c r="G8" s="211" t="s">
        <v>145</v>
      </c>
    </row>
    <row r="9" spans="1:35" ht="13" x14ac:dyDescent="0.3">
      <c r="A9" s="273">
        <v>44568</v>
      </c>
      <c r="B9" s="380" t="s">
        <v>161</v>
      </c>
      <c r="C9" s="205"/>
      <c r="D9" s="204"/>
      <c r="E9" s="219">
        <v>10</v>
      </c>
      <c r="F9" s="202">
        <f t="shared" si="0"/>
        <v>10</v>
      </c>
      <c r="G9" s="211" t="s">
        <v>145</v>
      </c>
    </row>
    <row r="10" spans="1:35" s="162" customFormat="1" ht="13" x14ac:dyDescent="0.3">
      <c r="A10" s="273">
        <v>44568</v>
      </c>
      <c r="B10" s="380" t="s">
        <v>162</v>
      </c>
      <c r="C10" s="205"/>
      <c r="D10" s="200"/>
      <c r="E10" s="219">
        <v>2</v>
      </c>
      <c r="F10" s="202">
        <f t="shared" si="0"/>
        <v>2</v>
      </c>
      <c r="G10" s="211" t="s">
        <v>145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" customFormat="1" ht="13" x14ac:dyDescent="0.3">
      <c r="A11" s="273">
        <v>44568</v>
      </c>
      <c r="B11" s="380" t="s">
        <v>163</v>
      </c>
      <c r="C11" s="205"/>
      <c r="D11" s="200"/>
      <c r="E11" s="219">
        <v>3.6</v>
      </c>
      <c r="F11" s="202">
        <f t="shared" si="0"/>
        <v>3.6</v>
      </c>
      <c r="G11" s="211" t="s">
        <v>145</v>
      </c>
    </row>
    <row r="12" spans="1:35" s="3" customFormat="1" ht="13" x14ac:dyDescent="0.3">
      <c r="A12" s="273">
        <v>44570</v>
      </c>
      <c r="B12" s="380" t="s">
        <v>164</v>
      </c>
      <c r="C12" s="205"/>
      <c r="D12" s="200"/>
      <c r="E12" s="204">
        <v>1.7</v>
      </c>
      <c r="F12" s="202">
        <f t="shared" si="0"/>
        <v>1.7</v>
      </c>
      <c r="G12" s="211" t="s">
        <v>145</v>
      </c>
    </row>
    <row r="13" spans="1:35" s="3" customFormat="1" ht="13" x14ac:dyDescent="0.3">
      <c r="A13" s="273">
        <v>44570</v>
      </c>
      <c r="B13" s="380" t="s">
        <v>165</v>
      </c>
      <c r="C13" s="205"/>
      <c r="D13" s="200"/>
      <c r="E13" s="204">
        <v>20.7</v>
      </c>
      <c r="F13" s="202">
        <f t="shared" si="0"/>
        <v>20.7</v>
      </c>
      <c r="G13" s="211" t="s">
        <v>145</v>
      </c>
    </row>
    <row r="14" spans="1:35" s="3" customFormat="1" ht="13" x14ac:dyDescent="0.3">
      <c r="A14" s="273">
        <v>44570</v>
      </c>
      <c r="B14" s="380" t="s">
        <v>166</v>
      </c>
      <c r="C14" s="205"/>
      <c r="D14" s="200">
        <v>58.5</v>
      </c>
      <c r="E14" s="204"/>
      <c r="F14" s="202">
        <f t="shared" si="0"/>
        <v>58.5</v>
      </c>
      <c r="G14" s="211" t="s">
        <v>145</v>
      </c>
    </row>
    <row r="15" spans="1:35" ht="13" x14ac:dyDescent="0.3">
      <c r="A15" s="273">
        <v>44570</v>
      </c>
      <c r="B15" s="380" t="s">
        <v>164</v>
      </c>
      <c r="C15" s="205"/>
      <c r="D15" s="204">
        <v>54.7</v>
      </c>
      <c r="E15" s="204"/>
      <c r="F15" s="202">
        <f t="shared" ref="F15:F25" si="1">SUM(C15:E15)</f>
        <v>54.7</v>
      </c>
      <c r="G15" s="211" t="s">
        <v>145</v>
      </c>
    </row>
    <row r="16" spans="1:35" ht="13" x14ac:dyDescent="0.3">
      <c r="A16" s="273">
        <v>44570</v>
      </c>
      <c r="B16" s="380" t="s">
        <v>167</v>
      </c>
      <c r="C16" s="205"/>
      <c r="D16" s="204"/>
      <c r="E16" s="204">
        <v>2</v>
      </c>
      <c r="F16" s="202">
        <f t="shared" si="1"/>
        <v>2</v>
      </c>
      <c r="G16" s="211" t="s">
        <v>145</v>
      </c>
      <c r="I16" s="381"/>
    </row>
    <row r="17" spans="1:35" ht="13" x14ac:dyDescent="0.3">
      <c r="A17" s="273">
        <v>44570</v>
      </c>
      <c r="B17" s="380" t="s">
        <v>164</v>
      </c>
      <c r="C17" s="205"/>
      <c r="D17" s="204"/>
      <c r="E17" s="204">
        <v>3.1</v>
      </c>
      <c r="F17" s="202">
        <f t="shared" si="1"/>
        <v>3.1</v>
      </c>
      <c r="G17" s="211" t="s">
        <v>145</v>
      </c>
    </row>
    <row r="18" spans="1:35" ht="13" x14ac:dyDescent="0.3">
      <c r="A18" s="273">
        <v>44570</v>
      </c>
      <c r="B18" s="380" t="s">
        <v>168</v>
      </c>
      <c r="C18" s="205"/>
      <c r="D18" s="204">
        <v>129</v>
      </c>
      <c r="E18" s="204"/>
      <c r="F18" s="202">
        <f t="shared" si="1"/>
        <v>129</v>
      </c>
      <c r="G18" s="211" t="s">
        <v>145</v>
      </c>
    </row>
    <row r="19" spans="1:35" ht="13" x14ac:dyDescent="0.3">
      <c r="A19" s="273">
        <v>44570</v>
      </c>
      <c r="B19" s="380" t="s">
        <v>168</v>
      </c>
      <c r="C19" s="205"/>
      <c r="D19" s="204"/>
      <c r="E19" s="204">
        <v>1</v>
      </c>
      <c r="F19" s="202">
        <f t="shared" si="1"/>
        <v>1</v>
      </c>
      <c r="G19" s="211" t="s">
        <v>145</v>
      </c>
    </row>
    <row r="20" spans="1:35" ht="13" x14ac:dyDescent="0.3">
      <c r="A20" s="273">
        <v>44578</v>
      </c>
      <c r="B20" s="380" t="s">
        <v>172</v>
      </c>
      <c r="C20" s="205"/>
      <c r="D20" s="204">
        <v>45</v>
      </c>
      <c r="E20" s="205"/>
      <c r="F20" s="202">
        <f t="shared" si="1"/>
        <v>45</v>
      </c>
      <c r="G20" s="211" t="s">
        <v>145</v>
      </c>
    </row>
    <row r="21" spans="1:35" s="162" customFormat="1" ht="13" x14ac:dyDescent="0.3">
      <c r="A21" s="273">
        <v>44578</v>
      </c>
      <c r="B21" s="380" t="s">
        <v>175</v>
      </c>
      <c r="C21" s="205"/>
      <c r="D21" s="200"/>
      <c r="E21" s="219">
        <v>13.5</v>
      </c>
      <c r="F21" s="202">
        <f t="shared" si="1"/>
        <v>13.5</v>
      </c>
      <c r="G21" s="211" t="s">
        <v>145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s="3" customFormat="1" ht="13" x14ac:dyDescent="0.3">
      <c r="A22" s="273">
        <v>44578</v>
      </c>
      <c r="B22" s="380" t="s">
        <v>174</v>
      </c>
      <c r="C22" s="205"/>
      <c r="D22" s="200"/>
      <c r="E22" s="219">
        <v>41.5</v>
      </c>
      <c r="F22" s="202">
        <f t="shared" si="1"/>
        <v>41.5</v>
      </c>
      <c r="G22" s="211" t="s">
        <v>145</v>
      </c>
    </row>
    <row r="23" spans="1:35" s="3" customFormat="1" ht="13" x14ac:dyDescent="0.3">
      <c r="A23" s="273">
        <v>44578</v>
      </c>
      <c r="B23" s="380" t="s">
        <v>173</v>
      </c>
      <c r="C23" s="205"/>
      <c r="D23" s="200"/>
      <c r="E23" s="219">
        <v>73</v>
      </c>
      <c r="F23" s="202">
        <f t="shared" si="1"/>
        <v>73</v>
      </c>
      <c r="G23" s="211" t="s">
        <v>145</v>
      </c>
    </row>
    <row r="24" spans="1:35" s="3" customFormat="1" ht="13" x14ac:dyDescent="0.3">
      <c r="A24" s="273">
        <v>44578</v>
      </c>
      <c r="B24" s="380" t="s">
        <v>176</v>
      </c>
      <c r="C24" s="205"/>
      <c r="D24" s="200"/>
      <c r="E24" s="219">
        <v>24</v>
      </c>
      <c r="F24" s="202">
        <f t="shared" si="1"/>
        <v>24</v>
      </c>
      <c r="G24" s="211" t="s">
        <v>145</v>
      </c>
    </row>
    <row r="25" spans="1:35" s="3" customFormat="1" ht="13" x14ac:dyDescent="0.3">
      <c r="A25" s="210">
        <v>44587</v>
      </c>
      <c r="B25" s="56" t="s">
        <v>198</v>
      </c>
      <c r="C25" s="205"/>
      <c r="D25" s="200"/>
      <c r="E25" s="204">
        <v>5</v>
      </c>
      <c r="F25" s="202">
        <f t="shared" si="1"/>
        <v>5</v>
      </c>
      <c r="G25" s="211" t="s">
        <v>145</v>
      </c>
    </row>
    <row r="26" spans="1:35" s="3" customFormat="1" ht="13" x14ac:dyDescent="0.3">
      <c r="A26" s="210">
        <v>44587</v>
      </c>
      <c r="B26" s="56" t="s">
        <v>199</v>
      </c>
      <c r="C26" s="205"/>
      <c r="D26" s="200"/>
      <c r="E26" s="204">
        <v>87.5</v>
      </c>
      <c r="F26" s="202">
        <f t="shared" si="0"/>
        <v>87.5</v>
      </c>
      <c r="G26" s="211" t="s">
        <v>145</v>
      </c>
    </row>
    <row r="27" spans="1:35" s="3" customFormat="1" ht="13" x14ac:dyDescent="0.3">
      <c r="A27" s="210">
        <v>44587</v>
      </c>
      <c r="B27" s="56" t="s">
        <v>200</v>
      </c>
      <c r="C27" s="205"/>
      <c r="D27" s="200"/>
      <c r="E27" s="204">
        <v>2</v>
      </c>
      <c r="F27" s="202">
        <f t="shared" si="0"/>
        <v>2</v>
      </c>
      <c r="G27" s="211" t="s">
        <v>145</v>
      </c>
    </row>
    <row r="28" spans="1:35" s="3" customFormat="1" ht="13" x14ac:dyDescent="0.3">
      <c r="A28" s="210">
        <v>44587</v>
      </c>
      <c r="B28" s="56" t="s">
        <v>201</v>
      </c>
      <c r="C28" s="205"/>
      <c r="D28" s="200"/>
      <c r="E28" s="204">
        <v>10</v>
      </c>
      <c r="F28" s="202">
        <f t="shared" ref="F28" si="2">SUM(C28:E28)</f>
        <v>10</v>
      </c>
      <c r="G28" s="211" t="s">
        <v>145</v>
      </c>
    </row>
    <row r="29" spans="1:35" s="3" customFormat="1" ht="13" x14ac:dyDescent="0.3">
      <c r="A29" s="210">
        <v>44587</v>
      </c>
      <c r="B29" s="56" t="s">
        <v>202</v>
      </c>
      <c r="C29" s="205"/>
      <c r="D29" s="200">
        <v>66</v>
      </c>
      <c r="E29" s="204"/>
      <c r="F29" s="202">
        <f t="shared" ref="F29:F30" si="3">SUM(C29:E29)</f>
        <v>66</v>
      </c>
      <c r="G29" s="211" t="s">
        <v>145</v>
      </c>
      <c r="I29" s="381"/>
    </row>
    <row r="30" spans="1:35" s="3" customFormat="1" ht="13" x14ac:dyDescent="0.3">
      <c r="A30" s="210">
        <v>44587</v>
      </c>
      <c r="B30" s="56" t="s">
        <v>203</v>
      </c>
      <c r="C30" s="205"/>
      <c r="D30" s="200">
        <v>8.5</v>
      </c>
      <c r="E30" s="204"/>
      <c r="F30" s="202">
        <f t="shared" si="3"/>
        <v>8.5</v>
      </c>
      <c r="G30" s="211" t="s">
        <v>145</v>
      </c>
      <c r="I30" s="381"/>
    </row>
    <row r="31" spans="1:35" s="3" customFormat="1" ht="13" x14ac:dyDescent="0.3">
      <c r="A31" s="210">
        <v>44587</v>
      </c>
      <c r="B31" s="56" t="s">
        <v>204</v>
      </c>
      <c r="C31" s="205"/>
      <c r="D31" s="200"/>
      <c r="E31" s="204">
        <v>146.69999999999999</v>
      </c>
      <c r="F31" s="202">
        <f t="shared" ref="F31" si="4">SUM(C31:E31)</f>
        <v>146.69999999999999</v>
      </c>
      <c r="G31" s="211" t="s">
        <v>145</v>
      </c>
    </row>
    <row r="32" spans="1:35" s="3" customFormat="1" ht="13" x14ac:dyDescent="0.3">
      <c r="A32" s="210">
        <v>44587</v>
      </c>
      <c r="B32" s="56" t="s">
        <v>205</v>
      </c>
      <c r="C32" s="205"/>
      <c r="D32" s="200">
        <v>113</v>
      </c>
      <c r="E32" s="204"/>
      <c r="F32" s="202">
        <f t="shared" ref="F32:F33" si="5">SUM(C32:E32)</f>
        <v>113</v>
      </c>
      <c r="G32" s="211" t="s">
        <v>145</v>
      </c>
    </row>
    <row r="33" spans="1:7" s="3" customFormat="1" ht="13" x14ac:dyDescent="0.3">
      <c r="A33" s="210">
        <v>44587</v>
      </c>
      <c r="B33" s="56" t="s">
        <v>206</v>
      </c>
      <c r="C33" s="205"/>
      <c r="D33" s="200">
        <v>239</v>
      </c>
      <c r="E33" s="204"/>
      <c r="F33" s="202">
        <f t="shared" si="5"/>
        <v>239</v>
      </c>
      <c r="G33" s="211" t="s">
        <v>145</v>
      </c>
    </row>
    <row r="34" spans="1:7" s="3" customFormat="1" ht="13" x14ac:dyDescent="0.3">
      <c r="A34" s="210">
        <v>44587</v>
      </c>
      <c r="B34" s="56" t="s">
        <v>207</v>
      </c>
      <c r="C34" s="205"/>
      <c r="D34" s="200">
        <v>37</v>
      </c>
      <c r="E34" s="204"/>
      <c r="F34" s="202">
        <f t="shared" si="0"/>
        <v>37</v>
      </c>
      <c r="G34" s="211" t="s">
        <v>145</v>
      </c>
    </row>
    <row r="35" spans="1:7" s="3" customFormat="1" ht="13" x14ac:dyDescent="0.3">
      <c r="A35" s="273">
        <v>44591</v>
      </c>
      <c r="B35" s="231" t="s">
        <v>213</v>
      </c>
      <c r="C35" s="205"/>
      <c r="D35" s="200"/>
      <c r="E35" s="204">
        <v>24</v>
      </c>
      <c r="F35" s="202">
        <f t="shared" si="0"/>
        <v>24</v>
      </c>
      <c r="G35" s="211" t="s">
        <v>145</v>
      </c>
    </row>
    <row r="36" spans="1:7" s="3" customFormat="1" ht="13" x14ac:dyDescent="0.3">
      <c r="A36" s="273">
        <v>44591</v>
      </c>
      <c r="B36" s="231" t="s">
        <v>214</v>
      </c>
      <c r="C36" s="205"/>
      <c r="D36" s="200"/>
      <c r="E36" s="204">
        <v>1</v>
      </c>
      <c r="F36" s="202">
        <f t="shared" ref="F36" si="6">SUM(C36:E36)</f>
        <v>1</v>
      </c>
      <c r="G36" s="211" t="s">
        <v>145</v>
      </c>
    </row>
    <row r="37" spans="1:7" s="3" customFormat="1" ht="13" thickBot="1" x14ac:dyDescent="0.3">
      <c r="A37" s="212"/>
      <c r="B37" s="213" t="s">
        <v>0</v>
      </c>
      <c r="C37" s="214">
        <f>SUM(C2:C34)</f>
        <v>0</v>
      </c>
      <c r="D37" s="214">
        <f>SUM(D2:D36)</f>
        <v>877.7</v>
      </c>
      <c r="E37" s="214">
        <f>SUM(E2:E36)</f>
        <v>585.79999999999995</v>
      </c>
      <c r="F37" s="215">
        <f>SUM(C37:E37)</f>
        <v>1463.5</v>
      </c>
      <c r="G37" s="216"/>
    </row>
    <row r="38" spans="1:7" s="3" customFormat="1" ht="11" thickTop="1" x14ac:dyDescent="0.25">
      <c r="D38" s="1"/>
      <c r="E38" s="1"/>
    </row>
    <row r="39" spans="1:7" s="3" customFormat="1" x14ac:dyDescent="0.25">
      <c r="D39" s="1"/>
      <c r="E39" s="1"/>
    </row>
    <row r="40" spans="1:7" s="3" customFormat="1" x14ac:dyDescent="0.25">
      <c r="D40" s="1"/>
      <c r="E40" s="1"/>
    </row>
    <row r="41" spans="1:7" s="3" customFormat="1" x14ac:dyDescent="0.25">
      <c r="D41" s="1"/>
      <c r="E41" s="1"/>
    </row>
    <row r="42" spans="1:7" s="3" customFormat="1" x14ac:dyDescent="0.25">
      <c r="D42" s="1"/>
      <c r="E42" s="1"/>
    </row>
    <row r="43" spans="1:7" s="3" customFormat="1" x14ac:dyDescent="0.25">
      <c r="D43" s="1"/>
      <c r="E43" s="1"/>
    </row>
    <row r="44" spans="1:7" s="3" customFormat="1" x14ac:dyDescent="0.25">
      <c r="D44" s="1"/>
      <c r="E44" s="1"/>
    </row>
    <row r="45" spans="1:7" s="3" customFormat="1" x14ac:dyDescent="0.25">
      <c r="D45" s="1"/>
      <c r="E45" s="1"/>
    </row>
    <row r="46" spans="1:7" s="3" customFormat="1" x14ac:dyDescent="0.25">
      <c r="D46" s="1"/>
      <c r="E46" s="1"/>
    </row>
    <row r="47" spans="1:7" s="3" customFormat="1" x14ac:dyDescent="0.25">
      <c r="D47" s="1"/>
      <c r="E47" s="1"/>
    </row>
    <row r="48" spans="1:7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  <row r="1133" spans="4:5" s="3" customFormat="1" x14ac:dyDescent="0.25">
      <c r="D1133" s="1"/>
      <c r="E1133" s="1"/>
    </row>
    <row r="1134" spans="4:5" s="3" customFormat="1" x14ac:dyDescent="0.25">
      <c r="D1134" s="1"/>
      <c r="E1134" s="1"/>
    </row>
    <row r="1135" spans="4:5" s="3" customFormat="1" x14ac:dyDescent="0.25">
      <c r="D1135" s="1"/>
      <c r="E1135" s="1"/>
    </row>
    <row r="1136" spans="4:5" s="3" customFormat="1" x14ac:dyDescent="0.25">
      <c r="D1136" s="1"/>
      <c r="E1136" s="1"/>
    </row>
    <row r="1137" spans="4:5" s="3" customFormat="1" x14ac:dyDescent="0.25">
      <c r="D1137" s="1"/>
      <c r="E1137" s="1"/>
    </row>
    <row r="1138" spans="4:5" s="3" customFormat="1" x14ac:dyDescent="0.25">
      <c r="D1138" s="1"/>
      <c r="E1138" s="1"/>
    </row>
    <row r="1139" spans="4:5" s="3" customFormat="1" x14ac:dyDescent="0.25">
      <c r="D1139" s="1"/>
      <c r="E1139" s="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I1138"/>
  <sheetViews>
    <sheetView showGridLines="0" topLeftCell="A13" workbookViewId="0">
      <selection activeCell="A36" sqref="A36:XFD37"/>
    </sheetView>
  </sheetViews>
  <sheetFormatPr baseColWidth="10" defaultColWidth="10.81640625" defaultRowHeight="10.5" x14ac:dyDescent="0.25"/>
  <cols>
    <col min="1" max="1" width="10.81640625" style="58"/>
    <col min="2" max="2" width="26.9062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10">
        <v>44652</v>
      </c>
      <c r="B2" s="56" t="s">
        <v>347</v>
      </c>
      <c r="C2" s="205"/>
      <c r="D2" s="204"/>
      <c r="E2" s="204">
        <v>12</v>
      </c>
      <c r="F2" s="204">
        <f t="shared" ref="F2:F35" si="0">SUM(C2:E2)</f>
        <v>12</v>
      </c>
      <c r="G2" s="211" t="s">
        <v>145</v>
      </c>
    </row>
    <row r="3" spans="1:35" ht="13" x14ac:dyDescent="0.3">
      <c r="A3" s="210">
        <v>44652</v>
      </c>
      <c r="B3" s="56" t="s">
        <v>348</v>
      </c>
      <c r="C3" s="205"/>
      <c r="D3" s="204"/>
      <c r="E3" s="204">
        <v>10</v>
      </c>
      <c r="F3" s="204">
        <f>SUM(C3:E3)</f>
        <v>10</v>
      </c>
      <c r="G3" s="211" t="s">
        <v>145</v>
      </c>
    </row>
    <row r="4" spans="1:35" ht="13" x14ac:dyDescent="0.3">
      <c r="A4" s="210">
        <v>44652</v>
      </c>
      <c r="B4" s="56" t="s">
        <v>349</v>
      </c>
      <c r="C4" s="205"/>
      <c r="D4" s="204"/>
      <c r="E4" s="204">
        <v>3</v>
      </c>
      <c r="F4" s="202">
        <f t="shared" si="0"/>
        <v>3</v>
      </c>
      <c r="G4" s="211" t="s">
        <v>145</v>
      </c>
    </row>
    <row r="5" spans="1:35" ht="13" x14ac:dyDescent="0.3">
      <c r="A5" s="210">
        <v>44659</v>
      </c>
      <c r="B5" s="56" t="s">
        <v>357</v>
      </c>
      <c r="C5" s="205"/>
      <c r="D5" s="204"/>
      <c r="E5" s="204">
        <v>22</v>
      </c>
      <c r="F5" s="202">
        <f t="shared" si="0"/>
        <v>22</v>
      </c>
      <c r="G5" s="211" t="s">
        <v>145</v>
      </c>
    </row>
    <row r="6" spans="1:35" ht="13" x14ac:dyDescent="0.3">
      <c r="A6" s="210">
        <v>44659</v>
      </c>
      <c r="B6" s="56" t="s">
        <v>358</v>
      </c>
      <c r="C6" s="205"/>
      <c r="D6" s="204"/>
      <c r="E6" s="204">
        <v>1</v>
      </c>
      <c r="F6" s="202">
        <f t="shared" si="0"/>
        <v>1</v>
      </c>
      <c r="G6" s="211" t="s">
        <v>145</v>
      </c>
    </row>
    <row r="7" spans="1:35" ht="13" x14ac:dyDescent="0.3">
      <c r="A7" s="210">
        <v>44659</v>
      </c>
      <c r="B7" s="56" t="s">
        <v>362</v>
      </c>
      <c r="C7" s="205"/>
      <c r="D7" s="204"/>
      <c r="E7" s="204">
        <v>22</v>
      </c>
      <c r="F7" s="202">
        <f t="shared" si="0"/>
        <v>22</v>
      </c>
      <c r="G7" s="211" t="s">
        <v>145</v>
      </c>
    </row>
    <row r="8" spans="1:35" ht="13" x14ac:dyDescent="0.3">
      <c r="A8" s="210">
        <v>44659</v>
      </c>
      <c r="B8" s="56" t="s">
        <v>359</v>
      </c>
      <c r="C8" s="205"/>
      <c r="D8" s="204"/>
      <c r="E8" s="204">
        <v>9.5</v>
      </c>
      <c r="F8" s="202">
        <f t="shared" si="0"/>
        <v>9.5</v>
      </c>
      <c r="G8" s="211" t="s">
        <v>145</v>
      </c>
    </row>
    <row r="9" spans="1:35" ht="13" x14ac:dyDescent="0.3">
      <c r="A9" s="210">
        <v>44659</v>
      </c>
      <c r="B9" s="56" t="s">
        <v>360</v>
      </c>
      <c r="C9" s="205"/>
      <c r="D9" s="204">
        <v>35</v>
      </c>
      <c r="E9" s="205"/>
      <c r="F9" s="202">
        <f t="shared" si="0"/>
        <v>35</v>
      </c>
      <c r="G9" s="211" t="s">
        <v>145</v>
      </c>
    </row>
    <row r="10" spans="1:35" s="162" customFormat="1" ht="13" x14ac:dyDescent="0.3">
      <c r="A10" s="210">
        <v>44659</v>
      </c>
      <c r="B10" s="56" t="s">
        <v>361</v>
      </c>
      <c r="C10" s="205"/>
      <c r="D10" s="200">
        <v>110</v>
      </c>
      <c r="E10" s="204"/>
      <c r="F10" s="202">
        <f t="shared" si="0"/>
        <v>110</v>
      </c>
      <c r="G10" s="211" t="s">
        <v>145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" customFormat="1" ht="13" x14ac:dyDescent="0.3">
      <c r="A11" s="210">
        <v>44659</v>
      </c>
      <c r="B11" s="56" t="s">
        <v>379</v>
      </c>
      <c r="C11" s="205"/>
      <c r="D11" s="200">
        <v>38.5</v>
      </c>
      <c r="E11" s="204"/>
      <c r="F11" s="202">
        <f t="shared" si="0"/>
        <v>38.5</v>
      </c>
      <c r="G11" s="211" t="s">
        <v>145</v>
      </c>
    </row>
    <row r="12" spans="1:35" s="3" customFormat="1" ht="13" x14ac:dyDescent="0.3">
      <c r="A12" s="210">
        <v>44660</v>
      </c>
      <c r="B12" s="56" t="s">
        <v>364</v>
      </c>
      <c r="C12" s="205"/>
      <c r="D12" s="200">
        <v>76</v>
      </c>
      <c r="E12" s="204"/>
      <c r="F12" s="202">
        <f t="shared" si="0"/>
        <v>76</v>
      </c>
      <c r="G12" s="211" t="s">
        <v>145</v>
      </c>
      <c r="H12" s="381"/>
      <c r="I12" s="381"/>
    </row>
    <row r="13" spans="1:35" s="3" customFormat="1" ht="13" x14ac:dyDescent="0.3">
      <c r="A13" s="210">
        <v>44660</v>
      </c>
      <c r="B13" s="56" t="s">
        <v>365</v>
      </c>
      <c r="C13" s="205"/>
      <c r="D13" s="200"/>
      <c r="E13" s="204">
        <v>8</v>
      </c>
      <c r="F13" s="202">
        <f t="shared" si="0"/>
        <v>8</v>
      </c>
      <c r="G13" s="211" t="s">
        <v>145</v>
      </c>
    </row>
    <row r="14" spans="1:35" s="3" customFormat="1" ht="13" x14ac:dyDescent="0.3">
      <c r="A14" s="210">
        <v>44660</v>
      </c>
      <c r="B14" s="56" t="s">
        <v>368</v>
      </c>
      <c r="C14" s="205"/>
      <c r="D14" s="200">
        <v>18</v>
      </c>
      <c r="E14" s="204"/>
      <c r="F14" s="202">
        <f t="shared" si="0"/>
        <v>18</v>
      </c>
      <c r="G14" s="211" t="s">
        <v>145</v>
      </c>
    </row>
    <row r="15" spans="1:35" s="3" customFormat="1" ht="13" x14ac:dyDescent="0.3">
      <c r="A15" s="210">
        <v>44660</v>
      </c>
      <c r="B15" s="56" t="s">
        <v>366</v>
      </c>
      <c r="C15" s="205"/>
      <c r="D15" s="200"/>
      <c r="E15" s="204">
        <v>93.5</v>
      </c>
      <c r="F15" s="202">
        <f t="shared" si="0"/>
        <v>93.5</v>
      </c>
      <c r="G15" s="211" t="s">
        <v>145</v>
      </c>
    </row>
    <row r="16" spans="1:35" s="3" customFormat="1" ht="13" x14ac:dyDescent="0.3">
      <c r="A16" s="210">
        <v>44660</v>
      </c>
      <c r="B16" s="56" t="s">
        <v>367</v>
      </c>
      <c r="C16" s="205"/>
      <c r="D16" s="200">
        <v>60</v>
      </c>
      <c r="E16" s="204"/>
      <c r="F16" s="202">
        <f t="shared" si="0"/>
        <v>60</v>
      </c>
      <c r="G16" s="211" t="s">
        <v>145</v>
      </c>
    </row>
    <row r="17" spans="1:7" s="3" customFormat="1" ht="13" x14ac:dyDescent="0.3">
      <c r="A17" s="210">
        <v>44660</v>
      </c>
      <c r="B17" s="56" t="s">
        <v>368</v>
      </c>
      <c r="C17" s="205"/>
      <c r="D17" s="200"/>
      <c r="E17" s="204">
        <v>2</v>
      </c>
      <c r="F17" s="202">
        <f t="shared" si="0"/>
        <v>2</v>
      </c>
      <c r="G17" s="211" t="s">
        <v>145</v>
      </c>
    </row>
    <row r="18" spans="1:7" s="3" customFormat="1" ht="13" x14ac:dyDescent="0.3">
      <c r="A18" s="210">
        <v>44660</v>
      </c>
      <c r="B18" s="56" t="s">
        <v>364</v>
      </c>
      <c r="C18" s="205"/>
      <c r="D18" s="200"/>
      <c r="E18" s="204">
        <v>5</v>
      </c>
      <c r="F18" s="202">
        <f t="shared" si="0"/>
        <v>5</v>
      </c>
      <c r="G18" s="211" t="s">
        <v>145</v>
      </c>
    </row>
    <row r="19" spans="1:7" s="3" customFormat="1" ht="13" x14ac:dyDescent="0.3">
      <c r="A19" s="210">
        <v>44667</v>
      </c>
      <c r="B19" s="56" t="s">
        <v>370</v>
      </c>
      <c r="C19" s="205"/>
      <c r="D19" s="200">
        <v>20</v>
      </c>
      <c r="E19" s="204"/>
      <c r="F19" s="202">
        <f t="shared" si="0"/>
        <v>20</v>
      </c>
      <c r="G19" s="211" t="s">
        <v>145</v>
      </c>
    </row>
    <row r="20" spans="1:7" s="3" customFormat="1" ht="13" x14ac:dyDescent="0.3">
      <c r="A20" s="210">
        <v>44667</v>
      </c>
      <c r="B20" s="56" t="s">
        <v>371</v>
      </c>
      <c r="C20" s="205"/>
      <c r="D20" s="200"/>
      <c r="E20" s="204">
        <v>7.5</v>
      </c>
      <c r="F20" s="202">
        <f t="shared" si="0"/>
        <v>7.5</v>
      </c>
      <c r="G20" s="211" t="s">
        <v>145</v>
      </c>
    </row>
    <row r="21" spans="1:7" s="3" customFormat="1" ht="13" x14ac:dyDescent="0.3">
      <c r="A21" s="210">
        <v>44667</v>
      </c>
      <c r="B21" s="56" t="s">
        <v>372</v>
      </c>
      <c r="C21" s="205"/>
      <c r="D21" s="200">
        <v>30</v>
      </c>
      <c r="E21" s="204"/>
      <c r="F21" s="202">
        <f t="shared" ref="F21:F24" si="1">SUM(C21:E21)</f>
        <v>30</v>
      </c>
      <c r="G21" s="211" t="s">
        <v>145</v>
      </c>
    </row>
    <row r="22" spans="1:7" s="3" customFormat="1" ht="13" x14ac:dyDescent="0.3">
      <c r="A22" s="210">
        <v>44667</v>
      </c>
      <c r="B22" s="56" t="s">
        <v>373</v>
      </c>
      <c r="C22" s="205"/>
      <c r="D22" s="200"/>
      <c r="E22" s="204">
        <v>6.4</v>
      </c>
      <c r="F22" s="202">
        <f t="shared" si="1"/>
        <v>6.4</v>
      </c>
      <c r="G22" s="211" t="s">
        <v>145</v>
      </c>
    </row>
    <row r="23" spans="1:7" s="3" customFormat="1" ht="13" x14ac:dyDescent="0.3">
      <c r="A23" s="210">
        <v>44667</v>
      </c>
      <c r="B23" s="56" t="s">
        <v>376</v>
      </c>
      <c r="C23" s="205"/>
      <c r="D23" s="200">
        <v>122</v>
      </c>
      <c r="E23" s="204"/>
      <c r="F23" s="202">
        <f t="shared" si="1"/>
        <v>122</v>
      </c>
      <c r="G23" s="211" t="s">
        <v>145</v>
      </c>
    </row>
    <row r="24" spans="1:7" s="3" customFormat="1" ht="13" x14ac:dyDescent="0.3">
      <c r="A24" s="210">
        <v>44667</v>
      </c>
      <c r="B24" s="56" t="s">
        <v>374</v>
      </c>
      <c r="C24" s="205"/>
      <c r="D24" s="200"/>
      <c r="E24" s="204">
        <v>30</v>
      </c>
      <c r="F24" s="202">
        <f t="shared" si="1"/>
        <v>30</v>
      </c>
      <c r="G24" s="211" t="s">
        <v>145</v>
      </c>
    </row>
    <row r="25" spans="1:7" s="3" customFormat="1" ht="13" x14ac:dyDescent="0.3">
      <c r="A25" s="210">
        <v>44667</v>
      </c>
      <c r="B25" s="56" t="s">
        <v>375</v>
      </c>
      <c r="C25" s="205"/>
      <c r="D25" s="200"/>
      <c r="E25" s="204">
        <v>30</v>
      </c>
      <c r="F25" s="202">
        <f t="shared" ref="F25:F29" si="2">SUM(C25:E25)</f>
        <v>30</v>
      </c>
      <c r="G25" s="211" t="s">
        <v>145</v>
      </c>
    </row>
    <row r="26" spans="1:7" s="3" customFormat="1" ht="13" x14ac:dyDescent="0.3">
      <c r="A26" s="210">
        <v>44674</v>
      </c>
      <c r="B26" s="56" t="s">
        <v>382</v>
      </c>
      <c r="C26" s="205"/>
      <c r="D26" s="200"/>
      <c r="E26" s="204">
        <v>7.5</v>
      </c>
      <c r="F26" s="202">
        <f t="shared" si="2"/>
        <v>7.5</v>
      </c>
      <c r="G26" s="211" t="s">
        <v>145</v>
      </c>
    </row>
    <row r="27" spans="1:7" s="3" customFormat="1" ht="13" x14ac:dyDescent="0.3">
      <c r="A27" s="210">
        <v>44674</v>
      </c>
      <c r="B27" s="56" t="s">
        <v>383</v>
      </c>
      <c r="C27" s="205"/>
      <c r="D27" s="200">
        <v>49.5</v>
      </c>
      <c r="E27" s="204"/>
      <c r="F27" s="202">
        <f t="shared" si="2"/>
        <v>49.5</v>
      </c>
      <c r="G27" s="211" t="s">
        <v>145</v>
      </c>
    </row>
    <row r="28" spans="1:7" s="3" customFormat="1" ht="13" x14ac:dyDescent="0.3">
      <c r="A28" s="210">
        <v>44674</v>
      </c>
      <c r="B28" s="56" t="s">
        <v>384</v>
      </c>
      <c r="C28" s="205"/>
      <c r="D28" s="200"/>
      <c r="E28" s="204">
        <v>70</v>
      </c>
      <c r="F28" s="202">
        <f t="shared" si="2"/>
        <v>70</v>
      </c>
      <c r="G28" s="211" t="s">
        <v>145</v>
      </c>
    </row>
    <row r="29" spans="1:7" s="3" customFormat="1" ht="13" x14ac:dyDescent="0.3">
      <c r="A29" s="210">
        <v>44679</v>
      </c>
      <c r="B29" s="56" t="s">
        <v>369</v>
      </c>
      <c r="C29" s="205">
        <v>17.2</v>
      </c>
      <c r="D29" s="200"/>
      <c r="E29" s="204"/>
      <c r="F29" s="202">
        <f t="shared" si="2"/>
        <v>17.2</v>
      </c>
      <c r="G29" s="211" t="s">
        <v>145</v>
      </c>
    </row>
    <row r="30" spans="1:7" s="3" customFormat="1" ht="13" x14ac:dyDescent="0.3">
      <c r="A30" s="210">
        <v>44680</v>
      </c>
      <c r="B30" s="56" t="s">
        <v>388</v>
      </c>
      <c r="C30" s="205"/>
      <c r="D30" s="200"/>
      <c r="E30" s="204">
        <v>11.5</v>
      </c>
      <c r="F30" s="202">
        <f t="shared" si="0"/>
        <v>11.5</v>
      </c>
      <c r="G30" s="211" t="s">
        <v>145</v>
      </c>
    </row>
    <row r="31" spans="1:7" s="3" customFormat="1" ht="13" x14ac:dyDescent="0.3">
      <c r="A31" s="210">
        <v>44680</v>
      </c>
      <c r="B31" s="56" t="s">
        <v>389</v>
      </c>
      <c r="C31" s="205"/>
      <c r="D31" s="200"/>
      <c r="E31" s="204">
        <v>10</v>
      </c>
      <c r="F31" s="202">
        <f t="shared" si="0"/>
        <v>10</v>
      </c>
      <c r="G31" s="211" t="s">
        <v>145</v>
      </c>
    </row>
    <row r="32" spans="1:7" s="3" customFormat="1" ht="13" x14ac:dyDescent="0.3">
      <c r="A32" s="210">
        <v>44680</v>
      </c>
      <c r="B32" s="56" t="s">
        <v>393</v>
      </c>
      <c r="C32" s="205"/>
      <c r="D32" s="200"/>
      <c r="E32" s="204">
        <v>14</v>
      </c>
      <c r="F32" s="202">
        <f t="shared" si="0"/>
        <v>14</v>
      </c>
      <c r="G32" s="211" t="s">
        <v>145</v>
      </c>
    </row>
    <row r="33" spans="1:7" s="3" customFormat="1" ht="13" x14ac:dyDescent="0.3">
      <c r="A33" s="210">
        <v>44680</v>
      </c>
      <c r="B33" s="56" t="s">
        <v>390</v>
      </c>
      <c r="C33" s="205"/>
      <c r="D33" s="200">
        <v>11</v>
      </c>
      <c r="E33" s="204"/>
      <c r="F33" s="202">
        <f t="shared" si="0"/>
        <v>11</v>
      </c>
      <c r="G33" s="211" t="s">
        <v>145</v>
      </c>
    </row>
    <row r="34" spans="1:7" s="3" customFormat="1" ht="13" x14ac:dyDescent="0.3">
      <c r="A34" s="210">
        <v>44680</v>
      </c>
      <c r="B34" s="56" t="s">
        <v>391</v>
      </c>
      <c r="C34" s="205"/>
      <c r="D34" s="200">
        <v>11</v>
      </c>
      <c r="E34" s="204"/>
      <c r="F34" s="202">
        <f t="shared" si="0"/>
        <v>11</v>
      </c>
      <c r="G34" s="211" t="s">
        <v>145</v>
      </c>
    </row>
    <row r="35" spans="1:7" s="3" customFormat="1" ht="13" x14ac:dyDescent="0.3">
      <c r="A35" s="210">
        <v>44680</v>
      </c>
      <c r="B35" s="56" t="s">
        <v>392</v>
      </c>
      <c r="C35" s="205"/>
      <c r="D35" s="200"/>
      <c r="E35" s="204">
        <v>45</v>
      </c>
      <c r="F35" s="202">
        <f t="shared" si="0"/>
        <v>45</v>
      </c>
      <c r="G35" s="211" t="s">
        <v>145</v>
      </c>
    </row>
    <row r="36" spans="1:7" s="3" customFormat="1" ht="13" thickBot="1" x14ac:dyDescent="0.3">
      <c r="A36" s="212"/>
      <c r="B36" s="213" t="s">
        <v>0</v>
      </c>
      <c r="C36" s="214">
        <f>SUM(C2:C35)</f>
        <v>17.2</v>
      </c>
      <c r="D36" s="214">
        <f>SUM(D2:D35)</f>
        <v>581</v>
      </c>
      <c r="E36" s="214">
        <f>SUM(E2:E35)</f>
        <v>419.9</v>
      </c>
      <c r="F36" s="215">
        <f>SUM(C36:E36)</f>
        <v>1018.1</v>
      </c>
      <c r="G36" s="216"/>
    </row>
    <row r="37" spans="1:7" s="3" customFormat="1" ht="11" thickTop="1" x14ac:dyDescent="0.25">
      <c r="D37" s="1"/>
      <c r="E37" s="1"/>
    </row>
    <row r="38" spans="1:7" s="3" customFormat="1" x14ac:dyDescent="0.25">
      <c r="D38" s="1"/>
      <c r="E38" s="1"/>
    </row>
    <row r="39" spans="1:7" s="3" customFormat="1" x14ac:dyDescent="0.25">
      <c r="D39" s="1"/>
      <c r="E39" s="1"/>
    </row>
    <row r="40" spans="1:7" s="3" customFormat="1" x14ac:dyDescent="0.25">
      <c r="D40" s="1"/>
      <c r="E40" s="1"/>
    </row>
    <row r="41" spans="1:7" s="3" customFormat="1" x14ac:dyDescent="0.25">
      <c r="D41" s="1"/>
      <c r="E41" s="1"/>
    </row>
    <row r="42" spans="1:7" s="3" customFormat="1" x14ac:dyDescent="0.25">
      <c r="D42" s="1"/>
      <c r="E42" s="1"/>
    </row>
    <row r="43" spans="1:7" s="3" customFormat="1" x14ac:dyDescent="0.25">
      <c r="D43" s="1"/>
      <c r="E43" s="1"/>
    </row>
    <row r="44" spans="1:7" s="3" customFormat="1" x14ac:dyDescent="0.25">
      <c r="D44" s="1"/>
      <c r="E44" s="1"/>
    </row>
    <row r="45" spans="1:7" s="3" customFormat="1" x14ac:dyDescent="0.25">
      <c r="D45" s="1"/>
      <c r="E45" s="1"/>
    </row>
    <row r="46" spans="1:7" s="3" customFormat="1" x14ac:dyDescent="0.25">
      <c r="D46" s="1"/>
      <c r="E46" s="1"/>
    </row>
    <row r="47" spans="1:7" s="3" customFormat="1" x14ac:dyDescent="0.25">
      <c r="D47" s="1"/>
      <c r="E47" s="1"/>
    </row>
    <row r="48" spans="1:7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  <row r="1133" spans="4:5" s="3" customFormat="1" x14ac:dyDescent="0.25">
      <c r="D1133" s="1"/>
      <c r="E1133" s="1"/>
    </row>
    <row r="1134" spans="4:5" s="3" customFormat="1" x14ac:dyDescent="0.25">
      <c r="D1134" s="1"/>
      <c r="E1134" s="1"/>
    </row>
    <row r="1135" spans="4:5" s="3" customFormat="1" x14ac:dyDescent="0.25">
      <c r="D1135" s="1"/>
      <c r="E1135" s="1"/>
    </row>
    <row r="1136" spans="4:5" s="3" customFormat="1" x14ac:dyDescent="0.25">
      <c r="D1136" s="1"/>
      <c r="E1136" s="1"/>
    </row>
    <row r="1137" spans="4:5" s="3" customFormat="1" x14ac:dyDescent="0.25">
      <c r="D1137" s="1"/>
      <c r="E1137" s="1"/>
    </row>
    <row r="1138" spans="4:5" s="3" customFormat="1" x14ac:dyDescent="0.25">
      <c r="D1138" s="1"/>
      <c r="E1138" s="1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I1127"/>
  <sheetViews>
    <sheetView showGridLines="0" workbookViewId="0">
      <selection activeCell="A17" sqref="A17:XFD17"/>
    </sheetView>
  </sheetViews>
  <sheetFormatPr baseColWidth="10" defaultColWidth="10.81640625" defaultRowHeight="10.5" x14ac:dyDescent="0.25"/>
  <cols>
    <col min="1" max="1" width="10.81640625" style="58"/>
    <col min="2" max="2" width="30.179687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" thickTop="1" x14ac:dyDescent="0.25">
      <c r="A1" s="206" t="s">
        <v>55</v>
      </c>
      <c r="B1" s="208"/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2.5" x14ac:dyDescent="0.25">
      <c r="A2" s="210">
        <v>44652</v>
      </c>
      <c r="B2" s="56" t="s">
        <v>350</v>
      </c>
      <c r="C2" s="199"/>
      <c r="D2" s="200">
        <v>150</v>
      </c>
      <c r="E2" s="201"/>
      <c r="F2" s="202">
        <f t="shared" ref="F2:F16" si="0">SUM(C2:E2)</f>
        <v>150</v>
      </c>
      <c r="G2" s="217" t="s">
        <v>145</v>
      </c>
    </row>
    <row r="3" spans="1:35" ht="12.5" x14ac:dyDescent="0.25">
      <c r="A3" s="210">
        <v>44653</v>
      </c>
      <c r="B3" s="56" t="s">
        <v>142</v>
      </c>
      <c r="C3" s="199">
        <v>51</v>
      </c>
      <c r="D3" s="200"/>
      <c r="E3" s="203"/>
      <c r="F3" s="202">
        <f t="shared" si="0"/>
        <v>51</v>
      </c>
      <c r="G3" s="217" t="s">
        <v>145</v>
      </c>
    </row>
    <row r="4" spans="1:35" ht="12.5" x14ac:dyDescent="0.25">
      <c r="A4" s="210">
        <v>44653</v>
      </c>
      <c r="B4" s="56" t="s">
        <v>352</v>
      </c>
      <c r="C4" s="199">
        <v>50</v>
      </c>
      <c r="D4" s="200"/>
      <c r="E4" s="203"/>
      <c r="F4" s="204">
        <f t="shared" si="0"/>
        <v>50</v>
      </c>
      <c r="G4" s="217" t="s">
        <v>145</v>
      </c>
    </row>
    <row r="5" spans="1:35" ht="12.5" x14ac:dyDescent="0.25">
      <c r="A5" s="210">
        <v>44656</v>
      </c>
      <c r="B5" s="56" t="s">
        <v>353</v>
      </c>
      <c r="C5" s="199">
        <v>96</v>
      </c>
      <c r="D5" s="200"/>
      <c r="E5" s="203"/>
      <c r="F5" s="204">
        <f t="shared" si="0"/>
        <v>96</v>
      </c>
      <c r="G5" s="217" t="s">
        <v>145</v>
      </c>
    </row>
    <row r="6" spans="1:35" ht="12.5" x14ac:dyDescent="0.25">
      <c r="A6" s="210">
        <v>44657</v>
      </c>
      <c r="B6" s="56" t="s">
        <v>354</v>
      </c>
      <c r="C6" s="199"/>
      <c r="D6" s="200">
        <v>167.75</v>
      </c>
      <c r="E6" s="203"/>
      <c r="F6" s="204">
        <f t="shared" si="0"/>
        <v>167.75</v>
      </c>
      <c r="G6" s="217" t="s">
        <v>145</v>
      </c>
    </row>
    <row r="7" spans="1:35" ht="12.5" x14ac:dyDescent="0.25">
      <c r="A7" s="210">
        <v>44659</v>
      </c>
      <c r="B7" s="56" t="s">
        <v>363</v>
      </c>
      <c r="C7" s="199"/>
      <c r="D7" s="200">
        <v>150</v>
      </c>
      <c r="E7" s="203"/>
      <c r="F7" s="204">
        <f t="shared" si="0"/>
        <v>150</v>
      </c>
      <c r="G7" s="217" t="s">
        <v>145</v>
      </c>
    </row>
    <row r="8" spans="1:35" ht="12.5" x14ac:dyDescent="0.25">
      <c r="A8" s="210">
        <v>44659</v>
      </c>
      <c r="B8" s="56" t="s">
        <v>144</v>
      </c>
      <c r="C8" s="199">
        <v>197.99</v>
      </c>
      <c r="D8" s="200"/>
      <c r="E8" s="203"/>
      <c r="F8" s="204">
        <f t="shared" si="0"/>
        <v>197.99</v>
      </c>
      <c r="G8" s="217" t="s">
        <v>145</v>
      </c>
    </row>
    <row r="9" spans="1:35" ht="12.5" x14ac:dyDescent="0.25">
      <c r="A9" s="210">
        <v>44663</v>
      </c>
      <c r="B9" s="56" t="s">
        <v>144</v>
      </c>
      <c r="C9" s="199">
        <v>40</v>
      </c>
      <c r="D9" s="200"/>
      <c r="E9" s="203"/>
      <c r="F9" s="204">
        <f t="shared" si="0"/>
        <v>40</v>
      </c>
      <c r="G9" s="217" t="s">
        <v>145</v>
      </c>
    </row>
    <row r="10" spans="1:35" ht="12.5" x14ac:dyDescent="0.25">
      <c r="A10" s="210">
        <v>44670</v>
      </c>
      <c r="B10" s="56" t="s">
        <v>144</v>
      </c>
      <c r="C10" s="199">
        <v>196</v>
      </c>
      <c r="D10" s="200"/>
      <c r="E10" s="203"/>
      <c r="F10" s="204">
        <f t="shared" si="0"/>
        <v>196</v>
      </c>
      <c r="G10" s="217" t="s">
        <v>145</v>
      </c>
    </row>
    <row r="11" spans="1:35" ht="12.5" x14ac:dyDescent="0.25">
      <c r="A11" s="210">
        <v>44670</v>
      </c>
      <c r="B11" s="56" t="s">
        <v>380</v>
      </c>
      <c r="C11" s="199">
        <v>165</v>
      </c>
      <c r="D11" s="200"/>
      <c r="E11" s="203"/>
      <c r="F11" s="204">
        <f t="shared" si="0"/>
        <v>165</v>
      </c>
      <c r="G11" s="217" t="s">
        <v>145</v>
      </c>
    </row>
    <row r="12" spans="1:35" ht="12.5" x14ac:dyDescent="0.25">
      <c r="A12" s="210">
        <v>44677</v>
      </c>
      <c r="B12" s="56" t="s">
        <v>385</v>
      </c>
      <c r="C12" s="199">
        <v>100</v>
      </c>
      <c r="D12" s="200"/>
      <c r="E12" s="203"/>
      <c r="F12" s="204">
        <f t="shared" si="0"/>
        <v>100</v>
      </c>
      <c r="G12" s="217" t="s">
        <v>145</v>
      </c>
    </row>
    <row r="13" spans="1:35" ht="12.5" x14ac:dyDescent="0.25">
      <c r="A13" s="210">
        <v>44677</v>
      </c>
      <c r="B13" s="56" t="s">
        <v>386</v>
      </c>
      <c r="C13" s="199"/>
      <c r="D13" s="200">
        <v>34</v>
      </c>
      <c r="E13" s="203"/>
      <c r="F13" s="204">
        <f t="shared" si="0"/>
        <v>34</v>
      </c>
      <c r="G13" s="217" t="s">
        <v>145</v>
      </c>
    </row>
    <row r="14" spans="1:35" ht="12.5" x14ac:dyDescent="0.25">
      <c r="A14" s="210">
        <v>44680</v>
      </c>
      <c r="B14" s="56" t="s">
        <v>142</v>
      </c>
      <c r="C14" s="199">
        <v>22</v>
      </c>
      <c r="D14" s="200"/>
      <c r="E14" s="203"/>
      <c r="F14" s="204">
        <f t="shared" si="0"/>
        <v>22</v>
      </c>
      <c r="G14" s="217" t="s">
        <v>145</v>
      </c>
    </row>
    <row r="15" spans="1:35" ht="12.5" x14ac:dyDescent="0.25">
      <c r="A15" s="210">
        <v>44680</v>
      </c>
      <c r="B15" s="56" t="s">
        <v>394</v>
      </c>
      <c r="C15" s="199">
        <v>150</v>
      </c>
      <c r="D15" s="200"/>
      <c r="E15" s="203"/>
      <c r="F15" s="204">
        <f t="shared" si="0"/>
        <v>150</v>
      </c>
      <c r="G15" s="217" t="s">
        <v>145</v>
      </c>
    </row>
    <row r="16" spans="1:35" s="162" customFormat="1" ht="12.5" x14ac:dyDescent="0.25">
      <c r="A16" s="472">
        <v>44681</v>
      </c>
      <c r="B16" s="473" t="s">
        <v>396</v>
      </c>
      <c r="C16" s="474">
        <v>100.8</v>
      </c>
      <c r="D16" s="475"/>
      <c r="E16" s="476"/>
      <c r="F16" s="477">
        <f t="shared" si="0"/>
        <v>100.8</v>
      </c>
      <c r="G16" s="478" t="s">
        <v>145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162" customFormat="1" ht="13" thickBot="1" x14ac:dyDescent="0.3">
      <c r="A17" s="212"/>
      <c r="B17" s="213" t="s">
        <v>0</v>
      </c>
      <c r="C17" s="214">
        <f>SUM(C2:C16)</f>
        <v>1168.79</v>
      </c>
      <c r="D17" s="214">
        <f>SUM(D2:D13)</f>
        <v>501.75</v>
      </c>
      <c r="E17" s="214">
        <f>SUM(E2:E13)</f>
        <v>0</v>
      </c>
      <c r="F17" s="215">
        <f>SUM(F2:F16)</f>
        <v>1670.54</v>
      </c>
      <c r="G17" s="2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3" customFormat="1" ht="11" thickTop="1" x14ac:dyDescent="0.25">
      <c r="D18" s="1"/>
      <c r="E18" s="1"/>
    </row>
    <row r="19" spans="1:35" s="3" customFormat="1" x14ac:dyDescent="0.25">
      <c r="D19" s="1"/>
      <c r="E19" s="1"/>
    </row>
    <row r="20" spans="1:35" s="3" customFormat="1" x14ac:dyDescent="0.25">
      <c r="D20" s="1"/>
      <c r="E20" s="1"/>
    </row>
    <row r="21" spans="1:35" s="3" customFormat="1" x14ac:dyDescent="0.25">
      <c r="D21" s="1"/>
      <c r="E21" s="1"/>
    </row>
    <row r="22" spans="1:35" s="3" customFormat="1" x14ac:dyDescent="0.25">
      <c r="D22" s="1"/>
      <c r="E22" s="1"/>
    </row>
    <row r="23" spans="1:35" s="3" customFormat="1" x14ac:dyDescent="0.25">
      <c r="D23" s="1"/>
      <c r="E23" s="1"/>
    </row>
    <row r="24" spans="1:35" s="3" customFormat="1" x14ac:dyDescent="0.25">
      <c r="D24" s="1"/>
      <c r="E24" s="1"/>
    </row>
    <row r="25" spans="1:35" s="3" customFormat="1" x14ac:dyDescent="0.25">
      <c r="D25" s="1"/>
      <c r="E25" s="1"/>
    </row>
    <row r="26" spans="1:35" s="3" customFormat="1" x14ac:dyDescent="0.25">
      <c r="D26" s="1"/>
      <c r="E26" s="1"/>
    </row>
    <row r="27" spans="1:35" s="3" customFormat="1" x14ac:dyDescent="0.25">
      <c r="D27" s="1"/>
      <c r="E27" s="1"/>
    </row>
    <row r="28" spans="1:35" s="3" customFormat="1" x14ac:dyDescent="0.25">
      <c r="D28" s="1"/>
      <c r="E28" s="1"/>
    </row>
    <row r="29" spans="1:35" s="3" customFormat="1" x14ac:dyDescent="0.25">
      <c r="D29" s="1"/>
      <c r="E29" s="1"/>
    </row>
    <row r="30" spans="1:35" s="3" customFormat="1" x14ac:dyDescent="0.25">
      <c r="D30" s="1"/>
      <c r="E30" s="1"/>
    </row>
    <row r="31" spans="1:35" s="3" customFormat="1" x14ac:dyDescent="0.25">
      <c r="D31" s="1"/>
      <c r="E31" s="1"/>
    </row>
    <row r="32" spans="1:3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</sheetData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K83"/>
  <sheetViews>
    <sheetView showGridLines="0" zoomScale="84" zoomScaleNormal="84" workbookViewId="0">
      <pane ySplit="3" topLeftCell="A47" activePane="bottomLeft" state="frozen"/>
      <selection pane="bottomLeft" activeCell="K73" sqref="K73"/>
    </sheetView>
  </sheetViews>
  <sheetFormatPr baseColWidth="10" defaultRowHeight="12.5" x14ac:dyDescent="0.25"/>
  <cols>
    <col min="1" max="1" width="9.81640625" customWidth="1"/>
    <col min="2" max="2" width="31.5429687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69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f>' 03 2022'!D81</f>
        <v>11013.510000000004</v>
      </c>
      <c r="E5" s="179"/>
      <c r="F5" s="180">
        <f>' 03 2022'!F81</f>
        <v>87.230000000000018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11100.740000000003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170" customFormat="1" ht="12" customHeight="1" x14ac:dyDescent="0.25">
      <c r="A6" s="271">
        <v>44652</v>
      </c>
      <c r="B6" s="222" t="s">
        <v>347</v>
      </c>
      <c r="C6" s="272" t="s">
        <v>145</v>
      </c>
      <c r="D6" s="283"/>
      <c r="E6" s="223"/>
      <c r="F6" s="224">
        <v>12</v>
      </c>
      <c r="G6" s="284"/>
      <c r="H6" s="302"/>
      <c r="I6" s="225"/>
      <c r="J6" s="225"/>
      <c r="K6" s="226">
        <v>12</v>
      </c>
      <c r="L6" s="225"/>
      <c r="M6" s="225"/>
      <c r="N6" s="225"/>
      <c r="O6" s="303"/>
      <c r="P6" s="316"/>
      <c r="Q6" s="227"/>
      <c r="R6" s="227"/>
      <c r="S6" s="227"/>
      <c r="T6" s="227"/>
      <c r="U6" s="228"/>
      <c r="V6" s="227"/>
      <c r="W6" s="229"/>
      <c r="X6" s="227"/>
      <c r="Y6" s="227"/>
      <c r="Z6" s="227"/>
      <c r="AA6" s="317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170" customFormat="1" ht="12" customHeight="1" x14ac:dyDescent="0.25">
      <c r="A7" s="275">
        <v>44652</v>
      </c>
      <c r="B7" s="469" t="s">
        <v>348</v>
      </c>
      <c r="C7" s="276" t="s">
        <v>145</v>
      </c>
      <c r="D7" s="287"/>
      <c r="E7" s="220"/>
      <c r="F7" s="221">
        <v>10</v>
      </c>
      <c r="G7" s="288"/>
      <c r="H7" s="306"/>
      <c r="I7" s="183"/>
      <c r="J7" s="183"/>
      <c r="K7" s="184">
        <v>10</v>
      </c>
      <c r="L7" s="183"/>
      <c r="M7" s="183"/>
      <c r="N7" s="183"/>
      <c r="O7" s="470"/>
      <c r="P7" s="320"/>
      <c r="Q7" s="189"/>
      <c r="R7" s="189"/>
      <c r="S7" s="189"/>
      <c r="T7" s="189"/>
      <c r="U7" s="471"/>
      <c r="V7" s="189"/>
      <c r="W7" s="190"/>
      <c r="X7" s="189"/>
      <c r="Y7" s="189"/>
      <c r="Z7" s="189"/>
      <c r="AA7" s="321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170" customFormat="1" ht="12" customHeight="1" x14ac:dyDescent="0.25">
      <c r="A8" s="275">
        <v>44652</v>
      </c>
      <c r="B8" s="469" t="s">
        <v>349</v>
      </c>
      <c r="C8" s="276" t="s">
        <v>145</v>
      </c>
      <c r="D8" s="287"/>
      <c r="E8" s="220"/>
      <c r="F8" s="221">
        <v>3</v>
      </c>
      <c r="G8" s="288"/>
      <c r="H8" s="306"/>
      <c r="I8" s="183"/>
      <c r="J8" s="183"/>
      <c r="K8" s="184">
        <v>3</v>
      </c>
      <c r="L8" s="183"/>
      <c r="M8" s="183"/>
      <c r="N8" s="183"/>
      <c r="O8" s="470"/>
      <c r="P8" s="320"/>
      <c r="Q8" s="189"/>
      <c r="R8" s="189"/>
      <c r="S8" s="189"/>
      <c r="T8" s="189"/>
      <c r="U8" s="471"/>
      <c r="V8" s="189"/>
      <c r="W8" s="190"/>
      <c r="X8" s="189"/>
      <c r="Y8" s="189"/>
      <c r="Z8" s="189"/>
      <c r="AA8" s="321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170" customFormat="1" ht="12" customHeight="1" x14ac:dyDescent="0.25">
      <c r="A9" s="275">
        <v>44652</v>
      </c>
      <c r="B9" s="469" t="s">
        <v>400</v>
      </c>
      <c r="C9" s="276" t="s">
        <v>145</v>
      </c>
      <c r="D9" s="287"/>
      <c r="E9" s="220"/>
      <c r="F9" s="221"/>
      <c r="G9" s="288">
        <v>12</v>
      </c>
      <c r="H9" s="306"/>
      <c r="I9" s="183"/>
      <c r="J9" s="183"/>
      <c r="K9" s="184"/>
      <c r="L9" s="183"/>
      <c r="M9" s="183"/>
      <c r="N9" s="183"/>
      <c r="O9" s="470"/>
      <c r="P9" s="320"/>
      <c r="Q9" s="189"/>
      <c r="R9" s="189"/>
      <c r="S9" s="189">
        <v>12</v>
      </c>
      <c r="T9" s="189"/>
      <c r="U9" s="471"/>
      <c r="V9" s="189"/>
      <c r="W9" s="190"/>
      <c r="X9" s="189"/>
      <c r="Y9" s="189"/>
      <c r="Z9" s="189"/>
      <c r="AA9" s="321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170" customFormat="1" ht="12" customHeight="1" x14ac:dyDescent="0.25">
      <c r="A10" s="275">
        <v>44652</v>
      </c>
      <c r="B10" s="469" t="s">
        <v>350</v>
      </c>
      <c r="C10" s="276" t="s">
        <v>145</v>
      </c>
      <c r="D10" s="287">
        <v>150</v>
      </c>
      <c r="E10" s="220"/>
      <c r="F10" s="221"/>
      <c r="G10" s="288"/>
      <c r="H10" s="306"/>
      <c r="I10" s="183">
        <v>150</v>
      </c>
      <c r="J10" s="183"/>
      <c r="K10" s="184"/>
      <c r="L10" s="183"/>
      <c r="M10" s="183"/>
      <c r="N10" s="183"/>
      <c r="O10" s="470"/>
      <c r="P10" s="320"/>
      <c r="Q10" s="189"/>
      <c r="R10" s="189"/>
      <c r="S10" s="189"/>
      <c r="T10" s="189"/>
      <c r="U10" s="471"/>
      <c r="V10" s="189"/>
      <c r="W10" s="190"/>
      <c r="X10" s="189"/>
      <c r="Y10" s="189"/>
      <c r="Z10" s="189"/>
      <c r="AA10" s="321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170" customFormat="1" ht="12" customHeight="1" x14ac:dyDescent="0.25">
      <c r="A11" s="275">
        <v>44653</v>
      </c>
      <c r="B11" s="469" t="s">
        <v>142</v>
      </c>
      <c r="C11" s="276" t="s">
        <v>145</v>
      </c>
      <c r="D11" s="287">
        <v>51</v>
      </c>
      <c r="E11" s="220"/>
      <c r="F11" s="221"/>
      <c r="G11" s="288"/>
      <c r="H11" s="306"/>
      <c r="I11" s="183">
        <v>51</v>
      </c>
      <c r="J11" s="183"/>
      <c r="K11" s="184"/>
      <c r="L11" s="183"/>
      <c r="M11" s="183"/>
      <c r="N11" s="183"/>
      <c r="O11" s="470"/>
      <c r="P11" s="320"/>
      <c r="Q11" s="189"/>
      <c r="R11" s="189"/>
      <c r="S11" s="189"/>
      <c r="T11" s="189"/>
      <c r="U11" s="471"/>
      <c r="V11" s="189"/>
      <c r="W11" s="190"/>
      <c r="X11" s="189"/>
      <c r="Y11" s="189"/>
      <c r="Z11" s="189"/>
      <c r="AA11" s="321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170" customFormat="1" ht="12" customHeight="1" x14ac:dyDescent="0.25">
      <c r="A12" s="275">
        <v>44653</v>
      </c>
      <c r="B12" s="469" t="s">
        <v>351</v>
      </c>
      <c r="C12" s="276" t="s">
        <v>145</v>
      </c>
      <c r="D12" s="287">
        <v>50</v>
      </c>
      <c r="E12" s="220"/>
      <c r="F12" s="221"/>
      <c r="G12" s="288"/>
      <c r="H12" s="306"/>
      <c r="I12" s="183">
        <v>50</v>
      </c>
      <c r="J12" s="183"/>
      <c r="K12" s="184"/>
      <c r="L12" s="183"/>
      <c r="M12" s="183"/>
      <c r="N12" s="183"/>
      <c r="O12" s="470"/>
      <c r="P12" s="320"/>
      <c r="Q12" s="189"/>
      <c r="R12" s="189"/>
      <c r="S12" s="189"/>
      <c r="T12" s="189"/>
      <c r="U12" s="471"/>
      <c r="V12" s="189"/>
      <c r="W12" s="190"/>
      <c r="X12" s="189"/>
      <c r="Y12" s="189"/>
      <c r="Z12" s="189"/>
      <c r="AA12" s="321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170" customFormat="1" ht="12" customHeight="1" x14ac:dyDescent="0.25">
      <c r="A13" s="275">
        <v>44655</v>
      </c>
      <c r="B13" s="469" t="s">
        <v>138</v>
      </c>
      <c r="C13" s="276" t="s">
        <v>145</v>
      </c>
      <c r="D13" s="287"/>
      <c r="E13" s="220">
        <v>10.44</v>
      </c>
      <c r="F13" s="221"/>
      <c r="G13" s="288"/>
      <c r="H13" s="306"/>
      <c r="I13" s="183"/>
      <c r="J13" s="183"/>
      <c r="K13" s="184"/>
      <c r="L13" s="183"/>
      <c r="M13" s="183"/>
      <c r="N13" s="183"/>
      <c r="O13" s="470"/>
      <c r="P13" s="320"/>
      <c r="Q13" s="189"/>
      <c r="R13" s="189"/>
      <c r="S13" s="189"/>
      <c r="T13" s="189"/>
      <c r="U13" s="471"/>
      <c r="V13" s="189"/>
      <c r="W13" s="190">
        <v>10.44</v>
      </c>
      <c r="X13" s="189"/>
      <c r="Y13" s="189"/>
      <c r="Z13" s="189"/>
      <c r="AA13" s="321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170" customFormat="1" ht="12" customHeight="1" x14ac:dyDescent="0.25">
      <c r="A14" s="275">
        <v>44656</v>
      </c>
      <c r="B14" s="469" t="s">
        <v>353</v>
      </c>
      <c r="C14" s="276" t="s">
        <v>145</v>
      </c>
      <c r="D14" s="287">
        <v>96</v>
      </c>
      <c r="E14" s="220"/>
      <c r="F14" s="221"/>
      <c r="G14" s="288"/>
      <c r="H14" s="306"/>
      <c r="I14" s="183">
        <v>96</v>
      </c>
      <c r="J14" s="183"/>
      <c r="K14" s="184"/>
      <c r="L14" s="183"/>
      <c r="M14" s="183"/>
      <c r="N14" s="183"/>
      <c r="O14" s="470"/>
      <c r="P14" s="320"/>
      <c r="Q14" s="189"/>
      <c r="R14" s="189"/>
      <c r="S14" s="189"/>
      <c r="T14" s="189"/>
      <c r="U14" s="471"/>
      <c r="V14" s="189"/>
      <c r="W14" s="190"/>
      <c r="X14" s="189"/>
      <c r="Y14" s="189"/>
      <c r="Z14" s="189"/>
      <c r="AA14" s="321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170" customFormat="1" ht="12" customHeight="1" x14ac:dyDescent="0.25">
      <c r="A15" s="275">
        <v>44656</v>
      </c>
      <c r="B15" s="469" t="s">
        <v>146</v>
      </c>
      <c r="C15" s="276" t="s">
        <v>145</v>
      </c>
      <c r="D15" s="287"/>
      <c r="E15" s="220">
        <v>29.99</v>
      </c>
      <c r="F15" s="221"/>
      <c r="G15" s="288"/>
      <c r="H15" s="306"/>
      <c r="I15" s="183"/>
      <c r="J15" s="183"/>
      <c r="K15" s="184"/>
      <c r="L15" s="183"/>
      <c r="M15" s="183"/>
      <c r="N15" s="183"/>
      <c r="O15" s="470"/>
      <c r="P15" s="320"/>
      <c r="Q15" s="189"/>
      <c r="R15" s="189"/>
      <c r="S15" s="189"/>
      <c r="T15" s="189"/>
      <c r="U15" s="471"/>
      <c r="V15" s="189">
        <v>29.99</v>
      </c>
      <c r="W15" s="190"/>
      <c r="X15" s="189"/>
      <c r="Y15" s="189"/>
      <c r="Z15" s="189"/>
      <c r="AA15" s="321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170" customFormat="1" ht="12" customHeight="1" x14ac:dyDescent="0.25">
      <c r="A16" s="275">
        <v>44657</v>
      </c>
      <c r="B16" s="469" t="s">
        <v>354</v>
      </c>
      <c r="C16" s="276" t="s">
        <v>145</v>
      </c>
      <c r="D16" s="287">
        <v>167.75</v>
      </c>
      <c r="E16" s="220"/>
      <c r="F16" s="221"/>
      <c r="G16" s="288"/>
      <c r="H16" s="306"/>
      <c r="I16" s="183">
        <v>167.75</v>
      </c>
      <c r="J16" s="183"/>
      <c r="K16" s="184"/>
      <c r="L16" s="183"/>
      <c r="M16" s="183"/>
      <c r="N16" s="183"/>
      <c r="O16" s="470"/>
      <c r="P16" s="320"/>
      <c r="Q16" s="189"/>
      <c r="R16" s="189"/>
      <c r="S16" s="189"/>
      <c r="T16" s="189"/>
      <c r="U16" s="471"/>
      <c r="V16" s="189"/>
      <c r="W16" s="190"/>
      <c r="X16" s="189"/>
      <c r="Y16" s="189"/>
      <c r="Z16" s="189"/>
      <c r="AA16" s="321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170" customFormat="1" ht="12" customHeight="1" x14ac:dyDescent="0.25">
      <c r="A17" s="275">
        <v>44657</v>
      </c>
      <c r="B17" s="462" t="s">
        <v>356</v>
      </c>
      <c r="C17" s="276" t="s">
        <v>145</v>
      </c>
      <c r="D17" s="287"/>
      <c r="E17" s="220"/>
      <c r="F17" s="221">
        <v>23.05</v>
      </c>
      <c r="G17" s="288"/>
      <c r="H17" s="306">
        <v>23.05</v>
      </c>
      <c r="I17" s="183"/>
      <c r="J17" s="183"/>
      <c r="K17" s="184"/>
      <c r="L17" s="183"/>
      <c r="M17" s="183"/>
      <c r="N17" s="183"/>
      <c r="O17" s="470"/>
      <c r="P17" s="320"/>
      <c r="Q17" s="189"/>
      <c r="R17" s="189"/>
      <c r="S17" s="189"/>
      <c r="T17" s="189"/>
      <c r="U17" s="471"/>
      <c r="V17" s="189"/>
      <c r="W17" s="190"/>
      <c r="X17" s="189"/>
      <c r="Y17" s="189"/>
      <c r="Z17" s="189"/>
      <c r="AA17" s="321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170" customFormat="1" ht="12" customHeight="1" x14ac:dyDescent="0.25">
      <c r="A18" s="275">
        <v>44659</v>
      </c>
      <c r="B18" s="462" t="s">
        <v>357</v>
      </c>
      <c r="C18" s="276" t="s">
        <v>145</v>
      </c>
      <c r="D18" s="287"/>
      <c r="E18" s="220"/>
      <c r="F18" s="221">
        <v>22</v>
      </c>
      <c r="G18" s="288"/>
      <c r="H18" s="306"/>
      <c r="I18" s="183"/>
      <c r="J18" s="183"/>
      <c r="K18" s="184">
        <v>22</v>
      </c>
      <c r="L18" s="183"/>
      <c r="M18" s="183"/>
      <c r="N18" s="183"/>
      <c r="O18" s="470"/>
      <c r="P18" s="320"/>
      <c r="Q18" s="189"/>
      <c r="R18" s="189"/>
      <c r="S18" s="189"/>
      <c r="T18" s="189"/>
      <c r="U18" s="471"/>
      <c r="V18" s="189"/>
      <c r="W18" s="190"/>
      <c r="X18" s="189"/>
      <c r="Y18" s="189"/>
      <c r="Z18" s="189"/>
      <c r="AA18" s="321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170" customFormat="1" ht="12" customHeight="1" x14ac:dyDescent="0.25">
      <c r="A19" s="275">
        <v>44659</v>
      </c>
      <c r="B19" s="469" t="s">
        <v>358</v>
      </c>
      <c r="C19" s="276" t="s">
        <v>145</v>
      </c>
      <c r="D19" s="287"/>
      <c r="E19" s="220"/>
      <c r="F19" s="221">
        <v>1</v>
      </c>
      <c r="G19" s="288"/>
      <c r="H19" s="306"/>
      <c r="I19" s="183"/>
      <c r="J19" s="183"/>
      <c r="K19" s="184">
        <v>1</v>
      </c>
      <c r="L19" s="183"/>
      <c r="M19" s="183"/>
      <c r="N19" s="183"/>
      <c r="O19" s="470"/>
      <c r="P19" s="320"/>
      <c r="Q19" s="189"/>
      <c r="R19" s="189"/>
      <c r="S19" s="189"/>
      <c r="T19" s="189"/>
      <c r="U19" s="471"/>
      <c r="V19" s="189"/>
      <c r="W19" s="190"/>
      <c r="X19" s="189"/>
      <c r="Y19" s="189"/>
      <c r="Z19" s="189"/>
      <c r="AA19" s="321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170" customFormat="1" ht="12" customHeight="1" x14ac:dyDescent="0.25">
      <c r="A20" s="275">
        <v>44659</v>
      </c>
      <c r="B20" s="469" t="s">
        <v>362</v>
      </c>
      <c r="C20" s="276" t="s">
        <v>145</v>
      </c>
      <c r="D20" s="287"/>
      <c r="E20" s="220"/>
      <c r="F20" s="221">
        <v>22</v>
      </c>
      <c r="G20" s="288"/>
      <c r="H20" s="306"/>
      <c r="I20" s="183"/>
      <c r="J20" s="183"/>
      <c r="K20" s="184">
        <v>22</v>
      </c>
      <c r="L20" s="183"/>
      <c r="M20" s="183"/>
      <c r="N20" s="183"/>
      <c r="O20" s="470"/>
      <c r="P20" s="320"/>
      <c r="Q20" s="189"/>
      <c r="R20" s="189"/>
      <c r="S20" s="189"/>
      <c r="T20" s="189"/>
      <c r="U20" s="471"/>
      <c r="V20" s="189"/>
      <c r="W20" s="190"/>
      <c r="X20" s="189"/>
      <c r="Y20" s="189"/>
      <c r="Z20" s="189"/>
      <c r="AA20" s="321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170" customFormat="1" ht="12" customHeight="1" x14ac:dyDescent="0.25">
      <c r="A21" s="275">
        <v>44659</v>
      </c>
      <c r="B21" s="469" t="s">
        <v>359</v>
      </c>
      <c r="C21" s="276" t="s">
        <v>145</v>
      </c>
      <c r="D21" s="287"/>
      <c r="E21" s="220"/>
      <c r="F21" s="221">
        <v>9.5</v>
      </c>
      <c r="G21" s="288"/>
      <c r="H21" s="306"/>
      <c r="I21" s="183"/>
      <c r="J21" s="183"/>
      <c r="K21" s="184">
        <v>9.5</v>
      </c>
      <c r="L21" s="183"/>
      <c r="M21" s="183"/>
      <c r="N21" s="183"/>
      <c r="O21" s="470"/>
      <c r="P21" s="320"/>
      <c r="Q21" s="189"/>
      <c r="R21" s="189"/>
      <c r="S21" s="189"/>
      <c r="T21" s="189"/>
      <c r="U21" s="471"/>
      <c r="V21" s="189"/>
      <c r="W21" s="190"/>
      <c r="X21" s="189"/>
      <c r="Y21" s="189"/>
      <c r="Z21" s="189"/>
      <c r="AA21" s="321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170" customFormat="1" ht="12" customHeight="1" x14ac:dyDescent="0.25">
      <c r="A22" s="275">
        <v>44659</v>
      </c>
      <c r="B22" s="469" t="s">
        <v>360</v>
      </c>
      <c r="C22" s="276" t="s">
        <v>145</v>
      </c>
      <c r="D22" s="287">
        <v>35</v>
      </c>
      <c r="E22" s="220"/>
      <c r="F22" s="221"/>
      <c r="G22" s="288"/>
      <c r="H22" s="306"/>
      <c r="I22" s="183"/>
      <c r="J22" s="183"/>
      <c r="K22" s="184">
        <v>35</v>
      </c>
      <c r="L22" s="183"/>
      <c r="M22" s="183"/>
      <c r="N22" s="183"/>
      <c r="O22" s="470"/>
      <c r="P22" s="320"/>
      <c r="Q22" s="189"/>
      <c r="R22" s="189"/>
      <c r="S22" s="189"/>
      <c r="T22" s="189"/>
      <c r="U22" s="471"/>
      <c r="V22" s="189"/>
      <c r="W22" s="190"/>
      <c r="X22" s="189"/>
      <c r="Y22" s="189"/>
      <c r="Z22" s="189"/>
      <c r="AA22" s="321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170" customFormat="1" ht="12" customHeight="1" x14ac:dyDescent="0.25">
      <c r="A23" s="275">
        <v>44659</v>
      </c>
      <c r="B23" s="469" t="s">
        <v>361</v>
      </c>
      <c r="C23" s="276" t="s">
        <v>145</v>
      </c>
      <c r="D23" s="287">
        <v>110</v>
      </c>
      <c r="E23" s="220"/>
      <c r="F23" s="221"/>
      <c r="G23" s="288"/>
      <c r="H23" s="306"/>
      <c r="I23" s="183"/>
      <c r="J23" s="183"/>
      <c r="K23" s="184">
        <v>110</v>
      </c>
      <c r="L23" s="183"/>
      <c r="M23" s="183"/>
      <c r="N23" s="183"/>
      <c r="O23" s="470"/>
      <c r="P23" s="320"/>
      <c r="Q23" s="189"/>
      <c r="R23" s="189"/>
      <c r="S23" s="189"/>
      <c r="T23" s="189"/>
      <c r="U23" s="471"/>
      <c r="V23" s="189"/>
      <c r="W23" s="190"/>
      <c r="X23" s="189"/>
      <c r="Y23" s="189"/>
      <c r="Z23" s="189"/>
      <c r="AA23" s="321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170" customFormat="1" ht="12" customHeight="1" x14ac:dyDescent="0.25">
      <c r="A24" s="275">
        <v>44659</v>
      </c>
      <c r="B24" s="469" t="s">
        <v>379</v>
      </c>
      <c r="C24" s="276" t="s">
        <v>145</v>
      </c>
      <c r="D24" s="287">
        <v>38.5</v>
      </c>
      <c r="E24" s="220"/>
      <c r="F24" s="221"/>
      <c r="G24" s="288"/>
      <c r="H24" s="306"/>
      <c r="I24" s="183"/>
      <c r="J24" s="183"/>
      <c r="K24" s="184">
        <v>38.5</v>
      </c>
      <c r="L24" s="183"/>
      <c r="M24" s="183"/>
      <c r="N24" s="183"/>
      <c r="O24" s="470"/>
      <c r="P24" s="320"/>
      <c r="Q24" s="189"/>
      <c r="R24" s="189"/>
      <c r="S24" s="189"/>
      <c r="T24" s="189"/>
      <c r="U24" s="471"/>
      <c r="V24" s="189"/>
      <c r="W24" s="190"/>
      <c r="X24" s="189"/>
      <c r="Y24" s="189"/>
      <c r="Z24" s="189"/>
      <c r="AA24" s="321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170" customFormat="1" ht="12" customHeight="1" x14ac:dyDescent="0.25">
      <c r="A25" s="275">
        <v>44659</v>
      </c>
      <c r="B25" s="469" t="s">
        <v>363</v>
      </c>
      <c r="C25" s="276" t="s">
        <v>145</v>
      </c>
      <c r="D25" s="287">
        <v>150</v>
      </c>
      <c r="E25" s="220"/>
      <c r="F25" s="221"/>
      <c r="G25" s="288"/>
      <c r="H25" s="306"/>
      <c r="I25" s="183">
        <v>150</v>
      </c>
      <c r="J25" s="183"/>
      <c r="K25" s="184"/>
      <c r="L25" s="183"/>
      <c r="M25" s="183"/>
      <c r="N25" s="183"/>
      <c r="O25" s="470"/>
      <c r="P25" s="320"/>
      <c r="Q25" s="189"/>
      <c r="R25" s="189"/>
      <c r="S25" s="189"/>
      <c r="T25" s="189"/>
      <c r="U25" s="471"/>
      <c r="V25" s="189"/>
      <c r="W25" s="190"/>
      <c r="X25" s="189"/>
      <c r="Y25" s="189"/>
      <c r="Z25" s="189"/>
      <c r="AA25" s="321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170" customFormat="1" ht="12" customHeight="1" x14ac:dyDescent="0.25">
      <c r="A26" s="275">
        <v>44659</v>
      </c>
      <c r="B26" s="469" t="s">
        <v>144</v>
      </c>
      <c r="C26" s="276" t="s">
        <v>145</v>
      </c>
      <c r="D26" s="287">
        <v>197.99</v>
      </c>
      <c r="E26" s="220"/>
      <c r="F26" s="221"/>
      <c r="G26" s="288"/>
      <c r="H26" s="306"/>
      <c r="I26" s="183">
        <v>197.99</v>
      </c>
      <c r="J26" s="183"/>
      <c r="K26" s="184"/>
      <c r="L26" s="183"/>
      <c r="M26" s="183"/>
      <c r="N26" s="183"/>
      <c r="O26" s="470"/>
      <c r="P26" s="320"/>
      <c r="Q26" s="189"/>
      <c r="R26" s="189"/>
      <c r="S26" s="189"/>
      <c r="T26" s="189"/>
      <c r="U26" s="471"/>
      <c r="V26" s="189"/>
      <c r="W26" s="190"/>
      <c r="X26" s="189"/>
      <c r="Y26" s="189"/>
      <c r="Z26" s="189"/>
      <c r="AA26" s="321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170" customFormat="1" ht="12" customHeight="1" x14ac:dyDescent="0.25">
      <c r="A27" s="275">
        <v>44660</v>
      </c>
      <c r="B27" s="469" t="s">
        <v>364</v>
      </c>
      <c r="C27" s="276" t="s">
        <v>145</v>
      </c>
      <c r="D27" s="287">
        <v>76</v>
      </c>
      <c r="E27" s="220"/>
      <c r="F27" s="221"/>
      <c r="G27" s="288"/>
      <c r="H27" s="306"/>
      <c r="I27" s="183"/>
      <c r="J27" s="183"/>
      <c r="K27" s="184">
        <v>76</v>
      </c>
      <c r="L27" s="183"/>
      <c r="M27" s="183"/>
      <c r="N27" s="183"/>
      <c r="O27" s="470"/>
      <c r="P27" s="320"/>
      <c r="Q27" s="189"/>
      <c r="R27" s="189"/>
      <c r="S27" s="189"/>
      <c r="T27" s="189"/>
      <c r="U27" s="471"/>
      <c r="V27" s="189"/>
      <c r="W27" s="190"/>
      <c r="X27" s="189"/>
      <c r="Y27" s="189"/>
      <c r="Z27" s="189"/>
      <c r="AA27" s="321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170" customFormat="1" ht="12" customHeight="1" x14ac:dyDescent="0.25">
      <c r="A28" s="275">
        <v>44660</v>
      </c>
      <c r="B28" s="469" t="s">
        <v>365</v>
      </c>
      <c r="C28" s="276" t="s">
        <v>145</v>
      </c>
      <c r="D28" s="287"/>
      <c r="E28" s="220"/>
      <c r="F28" s="221">
        <v>8</v>
      </c>
      <c r="G28" s="288"/>
      <c r="H28" s="306"/>
      <c r="I28" s="183"/>
      <c r="J28" s="183"/>
      <c r="K28" s="184">
        <v>8</v>
      </c>
      <c r="L28" s="183"/>
      <c r="M28" s="183"/>
      <c r="N28" s="183"/>
      <c r="O28" s="470"/>
      <c r="P28" s="320"/>
      <c r="Q28" s="189"/>
      <c r="R28" s="189"/>
      <c r="S28" s="189"/>
      <c r="T28" s="189"/>
      <c r="U28" s="471"/>
      <c r="V28" s="189"/>
      <c r="W28" s="190"/>
      <c r="X28" s="189"/>
      <c r="Y28" s="189"/>
      <c r="Z28" s="189"/>
      <c r="AA28" s="321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170" customFormat="1" ht="12" customHeight="1" x14ac:dyDescent="0.25">
      <c r="A29" s="275">
        <v>44660</v>
      </c>
      <c r="B29" s="469" t="s">
        <v>368</v>
      </c>
      <c r="C29" s="276" t="s">
        <v>145</v>
      </c>
      <c r="D29" s="287">
        <v>18</v>
      </c>
      <c r="E29" s="220"/>
      <c r="F29" s="221"/>
      <c r="G29" s="288"/>
      <c r="H29" s="306"/>
      <c r="I29" s="183"/>
      <c r="J29" s="183"/>
      <c r="K29" s="184">
        <v>18</v>
      </c>
      <c r="L29" s="183"/>
      <c r="M29" s="183"/>
      <c r="N29" s="183"/>
      <c r="O29" s="470"/>
      <c r="P29" s="320"/>
      <c r="Q29" s="189"/>
      <c r="R29" s="189"/>
      <c r="S29" s="189"/>
      <c r="T29" s="189"/>
      <c r="U29" s="471"/>
      <c r="V29" s="189"/>
      <c r="W29" s="190"/>
      <c r="X29" s="189"/>
      <c r="Y29" s="189"/>
      <c r="Z29" s="189"/>
      <c r="AA29" s="321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170" customFormat="1" ht="12" customHeight="1" x14ac:dyDescent="0.25">
      <c r="A30" s="275">
        <v>44660</v>
      </c>
      <c r="B30" s="469" t="s">
        <v>366</v>
      </c>
      <c r="C30" s="276" t="s">
        <v>145</v>
      </c>
      <c r="D30" s="287"/>
      <c r="E30" s="220"/>
      <c r="F30" s="221">
        <v>93.5</v>
      </c>
      <c r="G30" s="288"/>
      <c r="H30" s="306"/>
      <c r="I30" s="183"/>
      <c r="J30" s="183"/>
      <c r="K30" s="184">
        <v>93.5</v>
      </c>
      <c r="L30" s="183"/>
      <c r="M30" s="183"/>
      <c r="N30" s="183"/>
      <c r="O30" s="470"/>
      <c r="P30" s="320"/>
      <c r="Q30" s="189"/>
      <c r="R30" s="189"/>
      <c r="S30" s="189"/>
      <c r="T30" s="189"/>
      <c r="U30" s="471"/>
      <c r="V30" s="189"/>
      <c r="W30" s="190"/>
      <c r="X30" s="189"/>
      <c r="Y30" s="189"/>
      <c r="Z30" s="189"/>
      <c r="AA30" s="321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170" customFormat="1" ht="12" customHeight="1" x14ac:dyDescent="0.25">
      <c r="A31" s="275">
        <v>44660</v>
      </c>
      <c r="B31" s="469" t="s">
        <v>367</v>
      </c>
      <c r="C31" s="276" t="s">
        <v>145</v>
      </c>
      <c r="D31" s="287">
        <v>60</v>
      </c>
      <c r="E31" s="220"/>
      <c r="F31" s="221"/>
      <c r="G31" s="288"/>
      <c r="H31" s="306"/>
      <c r="I31" s="183"/>
      <c r="J31" s="183"/>
      <c r="K31" s="184">
        <v>60</v>
      </c>
      <c r="L31" s="183"/>
      <c r="M31" s="183"/>
      <c r="N31" s="183"/>
      <c r="O31" s="470"/>
      <c r="P31" s="320"/>
      <c r="Q31" s="189"/>
      <c r="R31" s="189"/>
      <c r="S31" s="189"/>
      <c r="T31" s="189"/>
      <c r="U31" s="471"/>
      <c r="V31" s="189"/>
      <c r="W31" s="190"/>
      <c r="X31" s="189"/>
      <c r="Y31" s="189"/>
      <c r="Z31" s="189"/>
      <c r="AA31" s="321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170" customFormat="1" ht="12" customHeight="1" x14ac:dyDescent="0.25">
      <c r="A32" s="275">
        <v>44660</v>
      </c>
      <c r="B32" s="469" t="s">
        <v>368</v>
      </c>
      <c r="C32" s="276" t="s">
        <v>145</v>
      </c>
      <c r="D32" s="287"/>
      <c r="E32" s="220"/>
      <c r="F32" s="221">
        <v>2</v>
      </c>
      <c r="G32" s="288"/>
      <c r="H32" s="306"/>
      <c r="I32" s="183"/>
      <c r="J32" s="183"/>
      <c r="K32" s="184">
        <v>2</v>
      </c>
      <c r="L32" s="183"/>
      <c r="M32" s="183"/>
      <c r="N32" s="183"/>
      <c r="O32" s="470"/>
      <c r="P32" s="320"/>
      <c r="Q32" s="189"/>
      <c r="R32" s="189"/>
      <c r="S32" s="189"/>
      <c r="T32" s="189"/>
      <c r="U32" s="471"/>
      <c r="V32" s="189"/>
      <c r="W32" s="190"/>
      <c r="X32" s="189"/>
      <c r="Y32" s="189"/>
      <c r="Z32" s="189"/>
      <c r="AA32" s="321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170" customFormat="1" ht="12" customHeight="1" x14ac:dyDescent="0.25">
      <c r="A33" s="275">
        <v>44660</v>
      </c>
      <c r="B33" s="469" t="s">
        <v>364</v>
      </c>
      <c r="C33" s="276" t="s">
        <v>145</v>
      </c>
      <c r="D33" s="287"/>
      <c r="E33" s="220"/>
      <c r="F33" s="221">
        <v>5</v>
      </c>
      <c r="G33" s="288"/>
      <c r="H33" s="306"/>
      <c r="I33" s="183"/>
      <c r="J33" s="183"/>
      <c r="K33" s="184">
        <v>5</v>
      </c>
      <c r="L33" s="183"/>
      <c r="M33" s="183"/>
      <c r="N33" s="183"/>
      <c r="O33" s="470"/>
      <c r="P33" s="320"/>
      <c r="Q33" s="189"/>
      <c r="R33" s="189"/>
      <c r="S33" s="189"/>
      <c r="T33" s="189"/>
      <c r="U33" s="471"/>
      <c r="V33" s="189"/>
      <c r="W33" s="190"/>
      <c r="X33" s="189"/>
      <c r="Y33" s="189"/>
      <c r="Z33" s="189"/>
      <c r="AA33" s="321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170" customFormat="1" ht="12" customHeight="1" x14ac:dyDescent="0.25">
      <c r="A34" s="273">
        <v>44661</v>
      </c>
      <c r="B34" s="231" t="s">
        <v>339</v>
      </c>
      <c r="C34" s="274" t="s">
        <v>145</v>
      </c>
      <c r="D34" s="285"/>
      <c r="E34" s="218">
        <v>1508.34</v>
      </c>
      <c r="F34" s="219"/>
      <c r="G34" s="286"/>
      <c r="H34" s="304"/>
      <c r="I34" s="185"/>
      <c r="J34" s="185"/>
      <c r="K34" s="186"/>
      <c r="L34" s="185"/>
      <c r="M34" s="185"/>
      <c r="N34" s="185"/>
      <c r="O34" s="305"/>
      <c r="P34" s="318"/>
      <c r="Q34" s="191"/>
      <c r="R34" s="191"/>
      <c r="S34" s="191"/>
      <c r="T34" s="191"/>
      <c r="U34" s="232">
        <v>1508.34</v>
      </c>
      <c r="V34" s="191"/>
      <c r="W34" s="192"/>
      <c r="X34" s="191"/>
      <c r="Y34" s="191"/>
      <c r="Z34" s="191"/>
      <c r="AA34" s="319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170" customFormat="1" ht="12" customHeight="1" x14ac:dyDescent="0.25">
      <c r="A35" s="273">
        <v>44663</v>
      </c>
      <c r="B35" s="231" t="s">
        <v>144</v>
      </c>
      <c r="C35" s="274" t="s">
        <v>145</v>
      </c>
      <c r="D35" s="285">
        <v>40</v>
      </c>
      <c r="E35" s="218"/>
      <c r="F35" s="219"/>
      <c r="G35" s="286"/>
      <c r="H35" s="304"/>
      <c r="I35" s="185">
        <v>40</v>
      </c>
      <c r="J35" s="185"/>
      <c r="K35" s="186"/>
      <c r="L35" s="185"/>
      <c r="M35" s="185"/>
      <c r="N35" s="185"/>
      <c r="O35" s="305"/>
      <c r="P35" s="318"/>
      <c r="Q35" s="191"/>
      <c r="R35" s="191"/>
      <c r="S35" s="191"/>
      <c r="T35" s="191"/>
      <c r="U35" s="232"/>
      <c r="V35" s="191"/>
      <c r="W35" s="192"/>
      <c r="X35" s="191"/>
      <c r="Y35" s="191"/>
      <c r="Z35" s="191"/>
      <c r="AA35" s="319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170" customFormat="1" ht="12" customHeight="1" x14ac:dyDescent="0.25">
      <c r="A36" s="273">
        <v>44666</v>
      </c>
      <c r="B36" s="231" t="s">
        <v>211</v>
      </c>
      <c r="C36" s="274" t="s">
        <v>145</v>
      </c>
      <c r="D36" s="285"/>
      <c r="E36" s="218">
        <v>12.1</v>
      </c>
      <c r="F36" s="219"/>
      <c r="G36" s="286"/>
      <c r="H36" s="304"/>
      <c r="I36" s="185"/>
      <c r="J36" s="185"/>
      <c r="K36" s="186"/>
      <c r="L36" s="185"/>
      <c r="M36" s="185"/>
      <c r="N36" s="185"/>
      <c r="O36" s="305"/>
      <c r="P36" s="318"/>
      <c r="Q36" s="191"/>
      <c r="R36" s="191"/>
      <c r="S36" s="191"/>
      <c r="T36" s="191"/>
      <c r="U36" s="232"/>
      <c r="V36" s="191"/>
      <c r="W36" s="192"/>
      <c r="X36" s="191"/>
      <c r="Y36" s="191">
        <v>12.1</v>
      </c>
      <c r="Z36" s="191"/>
      <c r="AA36" s="319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170" customFormat="1" ht="12" customHeight="1" x14ac:dyDescent="0.25">
      <c r="A37" s="273">
        <v>44667</v>
      </c>
      <c r="B37" s="231" t="s">
        <v>378</v>
      </c>
      <c r="C37" s="274" t="s">
        <v>145</v>
      </c>
      <c r="D37" s="285">
        <v>199.05</v>
      </c>
      <c r="E37" s="218"/>
      <c r="F37" s="219"/>
      <c r="G37" s="286">
        <v>199.05</v>
      </c>
      <c r="H37" s="304"/>
      <c r="I37" s="185"/>
      <c r="J37" s="185"/>
      <c r="K37" s="186"/>
      <c r="L37" s="185"/>
      <c r="M37" s="185"/>
      <c r="N37" s="185"/>
      <c r="O37" s="305"/>
      <c r="P37" s="318"/>
      <c r="Q37" s="191"/>
      <c r="R37" s="191"/>
      <c r="S37" s="191"/>
      <c r="T37" s="191"/>
      <c r="U37" s="232"/>
      <c r="V37" s="191"/>
      <c r="W37" s="192"/>
      <c r="X37" s="191"/>
      <c r="Y37" s="191"/>
      <c r="Z37" s="191"/>
      <c r="AA37" s="319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170" customFormat="1" ht="12" customHeight="1" x14ac:dyDescent="0.25">
      <c r="A38" s="273">
        <v>44667</v>
      </c>
      <c r="B38" s="231" t="s">
        <v>370</v>
      </c>
      <c r="C38" s="274" t="s">
        <v>145</v>
      </c>
      <c r="D38" s="285">
        <v>20</v>
      </c>
      <c r="E38" s="218"/>
      <c r="F38" s="219"/>
      <c r="G38" s="286"/>
      <c r="H38" s="304"/>
      <c r="I38" s="185"/>
      <c r="J38" s="185"/>
      <c r="K38" s="186">
        <v>20</v>
      </c>
      <c r="L38" s="185"/>
      <c r="M38" s="185"/>
      <c r="N38" s="185"/>
      <c r="O38" s="305"/>
      <c r="P38" s="318"/>
      <c r="Q38" s="191"/>
      <c r="R38" s="191"/>
      <c r="S38" s="191"/>
      <c r="T38" s="191"/>
      <c r="U38" s="232"/>
      <c r="V38" s="191"/>
      <c r="W38" s="192"/>
      <c r="X38" s="191"/>
      <c r="Y38" s="191"/>
      <c r="Z38" s="191"/>
      <c r="AA38" s="319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170" customFormat="1" ht="12" customHeight="1" x14ac:dyDescent="0.25">
      <c r="A39" s="273">
        <v>44667</v>
      </c>
      <c r="B39" s="231" t="s">
        <v>371</v>
      </c>
      <c r="C39" s="274" t="s">
        <v>145</v>
      </c>
      <c r="D39" s="285"/>
      <c r="E39" s="218"/>
      <c r="F39" s="219">
        <v>7.5</v>
      </c>
      <c r="G39" s="286"/>
      <c r="H39" s="304"/>
      <c r="I39" s="185"/>
      <c r="J39" s="185"/>
      <c r="K39" s="186">
        <v>7.5</v>
      </c>
      <c r="L39" s="185"/>
      <c r="M39" s="185"/>
      <c r="N39" s="185"/>
      <c r="O39" s="305"/>
      <c r="P39" s="318"/>
      <c r="Q39" s="191"/>
      <c r="R39" s="191"/>
      <c r="S39" s="191"/>
      <c r="T39" s="191"/>
      <c r="U39" s="232"/>
      <c r="V39" s="191"/>
      <c r="W39" s="192"/>
      <c r="X39" s="191"/>
      <c r="Y39" s="191"/>
      <c r="Z39" s="191"/>
      <c r="AA39" s="319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170" customFormat="1" ht="12" customHeight="1" x14ac:dyDescent="0.25">
      <c r="A40" s="273">
        <v>44667</v>
      </c>
      <c r="B40" s="231" t="s">
        <v>372</v>
      </c>
      <c r="C40" s="274" t="s">
        <v>145</v>
      </c>
      <c r="D40" s="285">
        <v>30</v>
      </c>
      <c r="E40" s="218"/>
      <c r="F40" s="219"/>
      <c r="G40" s="286"/>
      <c r="H40" s="304"/>
      <c r="I40" s="185"/>
      <c r="J40" s="185"/>
      <c r="K40" s="186">
        <v>30</v>
      </c>
      <c r="L40" s="185"/>
      <c r="M40" s="185"/>
      <c r="N40" s="185"/>
      <c r="O40" s="305"/>
      <c r="P40" s="318"/>
      <c r="Q40" s="191"/>
      <c r="R40" s="191"/>
      <c r="S40" s="191"/>
      <c r="T40" s="191"/>
      <c r="U40" s="232"/>
      <c r="V40" s="191"/>
      <c r="W40" s="192"/>
      <c r="X40" s="191"/>
      <c r="Y40" s="191"/>
      <c r="Z40" s="191"/>
      <c r="AA40" s="319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170" customFormat="1" ht="12" customHeight="1" x14ac:dyDescent="0.25">
      <c r="A41" s="273">
        <v>44667</v>
      </c>
      <c r="B41" s="231" t="s">
        <v>373</v>
      </c>
      <c r="C41" s="274" t="s">
        <v>145</v>
      </c>
      <c r="D41" s="285"/>
      <c r="E41" s="218"/>
      <c r="F41" s="219">
        <v>6.4</v>
      </c>
      <c r="G41" s="286"/>
      <c r="H41" s="304"/>
      <c r="I41" s="185"/>
      <c r="J41" s="185"/>
      <c r="K41" s="186">
        <v>6.4</v>
      </c>
      <c r="L41" s="185"/>
      <c r="M41" s="185"/>
      <c r="N41" s="185"/>
      <c r="O41" s="305"/>
      <c r="P41" s="318"/>
      <c r="Q41" s="191"/>
      <c r="R41" s="191"/>
      <c r="S41" s="191"/>
      <c r="T41" s="191"/>
      <c r="U41" s="232"/>
      <c r="V41" s="191"/>
      <c r="W41" s="192"/>
      <c r="X41" s="191"/>
      <c r="Y41" s="191"/>
      <c r="Z41" s="191"/>
      <c r="AA41" s="319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44667</v>
      </c>
      <c r="B42" s="231" t="s">
        <v>376</v>
      </c>
      <c r="C42" s="274" t="s">
        <v>145</v>
      </c>
      <c r="D42" s="285">
        <v>122</v>
      </c>
      <c r="E42" s="218"/>
      <c r="F42" s="219"/>
      <c r="G42" s="286"/>
      <c r="H42" s="304"/>
      <c r="I42" s="185"/>
      <c r="J42" s="185"/>
      <c r="K42" s="186">
        <v>122</v>
      </c>
      <c r="L42" s="185"/>
      <c r="M42" s="185"/>
      <c r="N42" s="185"/>
      <c r="O42" s="305"/>
      <c r="P42" s="318"/>
      <c r="Q42" s="191"/>
      <c r="R42" s="191"/>
      <c r="S42" s="191"/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170" customFormat="1" ht="12" customHeight="1" x14ac:dyDescent="0.25">
      <c r="A43" s="273">
        <v>44667</v>
      </c>
      <c r="B43" s="231" t="s">
        <v>374</v>
      </c>
      <c r="C43" s="274" t="s">
        <v>145</v>
      </c>
      <c r="D43" s="285"/>
      <c r="E43" s="218"/>
      <c r="F43" s="219">
        <v>30</v>
      </c>
      <c r="G43" s="286"/>
      <c r="H43" s="304"/>
      <c r="I43" s="185"/>
      <c r="J43" s="185"/>
      <c r="K43" s="186">
        <v>30</v>
      </c>
      <c r="L43" s="185"/>
      <c r="M43" s="185"/>
      <c r="N43" s="185"/>
      <c r="O43" s="305"/>
      <c r="P43" s="318"/>
      <c r="Q43" s="191"/>
      <c r="R43" s="191"/>
      <c r="S43" s="191"/>
      <c r="T43" s="191"/>
      <c r="U43" s="232"/>
      <c r="V43" s="191"/>
      <c r="W43" s="192"/>
      <c r="X43" s="191"/>
      <c r="Y43" s="191"/>
      <c r="Z43" s="191"/>
      <c r="AA43" s="319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170" customFormat="1" ht="12" customHeight="1" x14ac:dyDescent="0.25">
      <c r="A44" s="273">
        <v>44667</v>
      </c>
      <c r="B44" s="231" t="s">
        <v>375</v>
      </c>
      <c r="C44" s="274" t="s">
        <v>145</v>
      </c>
      <c r="D44" s="285"/>
      <c r="E44" s="218"/>
      <c r="F44" s="219">
        <v>30</v>
      </c>
      <c r="G44" s="286"/>
      <c r="H44" s="304"/>
      <c r="I44" s="185"/>
      <c r="J44" s="185"/>
      <c r="K44" s="186">
        <v>30</v>
      </c>
      <c r="L44" s="185"/>
      <c r="M44" s="185"/>
      <c r="N44" s="185"/>
      <c r="O44" s="305"/>
      <c r="P44" s="318"/>
      <c r="Q44" s="191"/>
      <c r="R44" s="191"/>
      <c r="S44" s="191"/>
      <c r="T44" s="191"/>
      <c r="U44" s="232"/>
      <c r="V44" s="191"/>
      <c r="W44" s="192"/>
      <c r="X44" s="191"/>
      <c r="Y44" s="191"/>
      <c r="Z44" s="191"/>
      <c r="AA44" s="319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170" customFormat="1" ht="12" customHeight="1" x14ac:dyDescent="0.25">
      <c r="A45" s="273">
        <v>44667</v>
      </c>
      <c r="B45" s="231" t="s">
        <v>377</v>
      </c>
      <c r="C45" s="274" t="s">
        <v>145</v>
      </c>
      <c r="D45" s="285"/>
      <c r="E45" s="218">
        <v>279.5</v>
      </c>
      <c r="F45" s="219"/>
      <c r="G45" s="286"/>
      <c r="H45" s="304"/>
      <c r="I45" s="185"/>
      <c r="J45" s="185"/>
      <c r="K45" s="186"/>
      <c r="L45" s="185"/>
      <c r="M45" s="185"/>
      <c r="N45" s="185"/>
      <c r="O45" s="305"/>
      <c r="P45" s="318"/>
      <c r="Q45" s="191"/>
      <c r="R45" s="191"/>
      <c r="S45" s="191"/>
      <c r="T45" s="191">
        <v>279.5</v>
      </c>
      <c r="U45" s="232"/>
      <c r="V45" s="191"/>
      <c r="W45" s="192"/>
      <c r="X45" s="191"/>
      <c r="Y45" s="191"/>
      <c r="Z45" s="191"/>
      <c r="AA45" s="319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170" customFormat="1" ht="12" customHeight="1" x14ac:dyDescent="0.25">
      <c r="A46" s="273">
        <v>44670</v>
      </c>
      <c r="B46" s="231" t="s">
        <v>144</v>
      </c>
      <c r="C46" s="274" t="s">
        <v>145</v>
      </c>
      <c r="D46" s="285">
        <v>196</v>
      </c>
      <c r="E46" s="218"/>
      <c r="F46" s="219"/>
      <c r="G46" s="286"/>
      <c r="H46" s="304"/>
      <c r="I46" s="185">
        <v>196</v>
      </c>
      <c r="J46" s="185"/>
      <c r="K46" s="186"/>
      <c r="L46" s="185"/>
      <c r="M46" s="185"/>
      <c r="N46" s="185"/>
      <c r="O46" s="305"/>
      <c r="P46" s="318"/>
      <c r="Q46" s="191"/>
      <c r="R46" s="191"/>
      <c r="S46" s="191"/>
      <c r="T46" s="191"/>
      <c r="U46" s="232"/>
      <c r="V46" s="191"/>
      <c r="W46" s="192"/>
      <c r="X46" s="191"/>
      <c r="Y46" s="191"/>
      <c r="Z46" s="191"/>
      <c r="AA46" s="319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170" customFormat="1" ht="12" customHeight="1" x14ac:dyDescent="0.25">
      <c r="A47" s="273">
        <v>44670</v>
      </c>
      <c r="B47" s="231" t="s">
        <v>380</v>
      </c>
      <c r="C47" s="274" t="s">
        <v>145</v>
      </c>
      <c r="D47" s="285">
        <v>165</v>
      </c>
      <c r="E47" s="218"/>
      <c r="F47" s="219"/>
      <c r="G47" s="286"/>
      <c r="H47" s="304"/>
      <c r="I47" s="185">
        <v>165</v>
      </c>
      <c r="J47" s="185"/>
      <c r="K47" s="186"/>
      <c r="L47" s="185"/>
      <c r="M47" s="185"/>
      <c r="N47" s="185"/>
      <c r="O47" s="305"/>
      <c r="P47" s="318"/>
      <c r="Q47" s="191"/>
      <c r="R47" s="191"/>
      <c r="S47" s="191"/>
      <c r="T47" s="191"/>
      <c r="U47" s="232"/>
      <c r="V47" s="191"/>
      <c r="W47" s="192"/>
      <c r="X47" s="191"/>
      <c r="Y47" s="191"/>
      <c r="Z47" s="191"/>
      <c r="AA47" s="319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170" customFormat="1" ht="12" customHeight="1" x14ac:dyDescent="0.25">
      <c r="A48" s="273">
        <v>44673</v>
      </c>
      <c r="B48" s="231" t="s">
        <v>381</v>
      </c>
      <c r="C48" s="274" t="s">
        <v>145</v>
      </c>
      <c r="D48" s="285"/>
      <c r="E48" s="218">
        <v>347.02</v>
      </c>
      <c r="F48" s="219"/>
      <c r="G48" s="286"/>
      <c r="H48" s="304"/>
      <c r="I48" s="185"/>
      <c r="J48" s="185"/>
      <c r="K48" s="186"/>
      <c r="L48" s="185"/>
      <c r="M48" s="185"/>
      <c r="N48" s="185"/>
      <c r="O48" s="305"/>
      <c r="P48" s="318">
        <v>347.02</v>
      </c>
      <c r="Q48" s="191"/>
      <c r="R48" s="191"/>
      <c r="S48" s="191"/>
      <c r="T48" s="191"/>
      <c r="U48" s="232"/>
      <c r="V48" s="191"/>
      <c r="W48" s="192"/>
      <c r="X48" s="191"/>
      <c r="Y48" s="191"/>
      <c r="Z48" s="191"/>
      <c r="AA48" s="319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170" customFormat="1" ht="12" customHeight="1" x14ac:dyDescent="0.25">
      <c r="A49" s="273">
        <v>44674</v>
      </c>
      <c r="B49" s="231" t="s">
        <v>382</v>
      </c>
      <c r="C49" s="274" t="s">
        <v>145</v>
      </c>
      <c r="D49" s="285"/>
      <c r="E49" s="218"/>
      <c r="F49" s="219">
        <v>7.5</v>
      </c>
      <c r="G49" s="286"/>
      <c r="H49" s="304"/>
      <c r="I49" s="185"/>
      <c r="J49" s="185"/>
      <c r="K49" s="186">
        <v>7.5</v>
      </c>
      <c r="L49" s="185"/>
      <c r="M49" s="185"/>
      <c r="N49" s="185"/>
      <c r="O49" s="305"/>
      <c r="P49" s="318"/>
      <c r="Q49" s="191"/>
      <c r="R49" s="191"/>
      <c r="S49" s="191"/>
      <c r="T49" s="191"/>
      <c r="U49" s="232"/>
      <c r="V49" s="191"/>
      <c r="W49" s="192"/>
      <c r="X49" s="191"/>
      <c r="Y49" s="191"/>
      <c r="Z49" s="191"/>
      <c r="AA49" s="319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44674</v>
      </c>
      <c r="B50" s="231" t="s">
        <v>383</v>
      </c>
      <c r="C50" s="274" t="s">
        <v>145</v>
      </c>
      <c r="D50" s="285">
        <v>49.5</v>
      </c>
      <c r="E50" s="218"/>
      <c r="F50" s="219"/>
      <c r="G50" s="286"/>
      <c r="H50" s="304"/>
      <c r="I50" s="185"/>
      <c r="J50" s="185"/>
      <c r="K50" s="186">
        <v>49.5</v>
      </c>
      <c r="L50" s="185"/>
      <c r="M50" s="185"/>
      <c r="N50" s="185"/>
      <c r="O50" s="305"/>
      <c r="P50" s="318"/>
      <c r="Q50" s="191"/>
      <c r="R50" s="191"/>
      <c r="S50" s="191"/>
      <c r="T50" s="191"/>
      <c r="U50" s="232"/>
      <c r="V50" s="191"/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170" customFormat="1" ht="12" customHeight="1" x14ac:dyDescent="0.25">
      <c r="A51" s="273">
        <v>44674</v>
      </c>
      <c r="B51" s="231" t="s">
        <v>384</v>
      </c>
      <c r="C51" s="274" t="s">
        <v>145</v>
      </c>
      <c r="D51" s="285"/>
      <c r="E51" s="218"/>
      <c r="F51" s="219">
        <v>70</v>
      </c>
      <c r="G51" s="286"/>
      <c r="H51" s="304"/>
      <c r="I51" s="185"/>
      <c r="J51" s="185"/>
      <c r="K51" s="186">
        <v>70</v>
      </c>
      <c r="L51" s="185"/>
      <c r="M51" s="185"/>
      <c r="N51" s="185"/>
      <c r="O51" s="305"/>
      <c r="P51" s="318"/>
      <c r="Q51" s="191"/>
      <c r="R51" s="191"/>
      <c r="S51" s="191"/>
      <c r="T51" s="191"/>
      <c r="U51" s="232"/>
      <c r="V51" s="191"/>
      <c r="W51" s="192"/>
      <c r="X51" s="191"/>
      <c r="Y51" s="191"/>
      <c r="Z51" s="191"/>
      <c r="AA51" s="319"/>
      <c r="AB51" s="168"/>
      <c r="AC51" s="168"/>
      <c r="AD51" s="168"/>
      <c r="AE51" s="168"/>
      <c r="AF51" s="168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</row>
    <row r="52" spans="1:115" s="170" customFormat="1" ht="12" customHeight="1" x14ac:dyDescent="0.25">
      <c r="A52" s="273">
        <v>44677</v>
      </c>
      <c r="B52" s="231" t="s">
        <v>385</v>
      </c>
      <c r="C52" s="274" t="s">
        <v>145</v>
      </c>
      <c r="D52" s="285">
        <v>100</v>
      </c>
      <c r="E52" s="218"/>
      <c r="F52" s="219"/>
      <c r="G52" s="286"/>
      <c r="H52" s="304"/>
      <c r="I52" s="185">
        <v>100</v>
      </c>
      <c r="J52" s="185"/>
      <c r="K52" s="186"/>
      <c r="L52" s="185"/>
      <c r="M52" s="185"/>
      <c r="N52" s="185"/>
      <c r="O52" s="305"/>
      <c r="P52" s="318"/>
      <c r="Q52" s="191"/>
      <c r="R52" s="191"/>
      <c r="S52" s="191"/>
      <c r="T52" s="191"/>
      <c r="U52" s="232"/>
      <c r="V52" s="191"/>
      <c r="W52" s="192"/>
      <c r="X52" s="191"/>
      <c r="Y52" s="191"/>
      <c r="Z52" s="191"/>
      <c r="AA52" s="319"/>
      <c r="AB52" s="168"/>
      <c r="AC52" s="168"/>
      <c r="AD52" s="168"/>
      <c r="AE52" s="168"/>
      <c r="AF52" s="168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</row>
    <row r="53" spans="1:115" s="170" customFormat="1" ht="12" customHeight="1" x14ac:dyDescent="0.25">
      <c r="A53" s="273">
        <v>44677</v>
      </c>
      <c r="B53" s="231" t="s">
        <v>386</v>
      </c>
      <c r="C53" s="274" t="s">
        <v>145</v>
      </c>
      <c r="D53" s="285">
        <v>34</v>
      </c>
      <c r="E53" s="218"/>
      <c r="F53" s="219"/>
      <c r="G53" s="286"/>
      <c r="H53" s="304"/>
      <c r="I53" s="185">
        <v>34</v>
      </c>
      <c r="J53" s="185"/>
      <c r="K53" s="186"/>
      <c r="L53" s="185"/>
      <c r="M53" s="185"/>
      <c r="N53" s="185"/>
      <c r="O53" s="305"/>
      <c r="P53" s="318"/>
      <c r="Q53" s="191"/>
      <c r="R53" s="191"/>
      <c r="S53" s="191"/>
      <c r="T53" s="191"/>
      <c r="U53" s="232"/>
      <c r="V53" s="191"/>
      <c r="W53" s="192"/>
      <c r="X53" s="191"/>
      <c r="Y53" s="191"/>
      <c r="Z53" s="191"/>
      <c r="AA53" s="319"/>
      <c r="AB53" s="168"/>
      <c r="AC53" s="168"/>
      <c r="AD53" s="168"/>
      <c r="AE53" s="168"/>
      <c r="AF53" s="168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</row>
    <row r="54" spans="1:115" s="170" customFormat="1" ht="12" customHeight="1" x14ac:dyDescent="0.25">
      <c r="A54" s="273">
        <v>44679</v>
      </c>
      <c r="B54" s="231" t="s">
        <v>387</v>
      </c>
      <c r="C54" s="274" t="s">
        <v>145</v>
      </c>
      <c r="D54" s="285"/>
      <c r="E54" s="218">
        <v>706</v>
      </c>
      <c r="F54" s="219"/>
      <c r="G54" s="286"/>
      <c r="H54" s="304"/>
      <c r="I54" s="185"/>
      <c r="J54" s="185"/>
      <c r="K54" s="186"/>
      <c r="L54" s="185"/>
      <c r="M54" s="185"/>
      <c r="N54" s="185"/>
      <c r="O54" s="305"/>
      <c r="P54" s="318"/>
      <c r="Q54" s="191"/>
      <c r="R54" s="191"/>
      <c r="S54" s="191"/>
      <c r="T54" s="191">
        <v>706</v>
      </c>
      <c r="U54" s="232"/>
      <c r="V54" s="191"/>
      <c r="W54" s="192"/>
      <c r="X54" s="191"/>
      <c r="Y54" s="191"/>
      <c r="Z54" s="191"/>
      <c r="AA54" s="319"/>
      <c r="AB54" s="168"/>
      <c r="AC54" s="168"/>
      <c r="AD54" s="168"/>
      <c r="AE54" s="168"/>
      <c r="AF54" s="168"/>
      <c r="AG54" s="168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</row>
    <row r="55" spans="1:115" s="170" customFormat="1" ht="12" customHeight="1" x14ac:dyDescent="0.25">
      <c r="A55" s="273">
        <v>44671</v>
      </c>
      <c r="B55" s="231" t="s">
        <v>369</v>
      </c>
      <c r="C55" s="274" t="s">
        <v>145</v>
      </c>
      <c r="D55" s="285">
        <v>17.2</v>
      </c>
      <c r="E55" s="218"/>
      <c r="F55" s="219"/>
      <c r="G55" s="286"/>
      <c r="H55" s="304"/>
      <c r="I55" s="185"/>
      <c r="J55" s="185"/>
      <c r="K55" s="186">
        <v>17.2</v>
      </c>
      <c r="L55" s="185"/>
      <c r="M55" s="185"/>
      <c r="N55" s="185"/>
      <c r="O55" s="305"/>
      <c r="P55" s="318"/>
      <c r="Q55" s="191"/>
      <c r="R55" s="191"/>
      <c r="S55" s="191"/>
      <c r="T55" s="191"/>
      <c r="U55" s="232"/>
      <c r="V55" s="191"/>
      <c r="W55" s="192"/>
      <c r="X55" s="191"/>
      <c r="Y55" s="191"/>
      <c r="Z55" s="191"/>
      <c r="AA55" s="319"/>
      <c r="AB55" s="168"/>
      <c r="AC55" s="168"/>
      <c r="AD55" s="168"/>
      <c r="AE55" s="168"/>
      <c r="AF55" s="168"/>
      <c r="AG55" s="168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</row>
    <row r="56" spans="1:115" s="170" customFormat="1" ht="12" customHeight="1" x14ac:dyDescent="0.25">
      <c r="A56" s="273">
        <v>44680</v>
      </c>
      <c r="B56" s="231" t="s">
        <v>208</v>
      </c>
      <c r="C56" s="274" t="s">
        <v>145</v>
      </c>
      <c r="D56" s="285"/>
      <c r="E56" s="218">
        <v>172.8</v>
      </c>
      <c r="F56" s="219"/>
      <c r="G56" s="286"/>
      <c r="H56" s="304"/>
      <c r="I56" s="185"/>
      <c r="J56" s="185"/>
      <c r="K56" s="186"/>
      <c r="L56" s="185"/>
      <c r="M56" s="185"/>
      <c r="N56" s="185"/>
      <c r="O56" s="305"/>
      <c r="P56" s="318"/>
      <c r="Q56" s="191"/>
      <c r="R56" s="191"/>
      <c r="S56" s="191"/>
      <c r="T56" s="191"/>
      <c r="U56" s="232"/>
      <c r="V56" s="191">
        <v>172.8</v>
      </c>
      <c r="W56" s="192"/>
      <c r="X56" s="191"/>
      <c r="Y56" s="191"/>
      <c r="Z56" s="191"/>
      <c r="AA56" s="319"/>
      <c r="AB56" s="168"/>
      <c r="AC56" s="168"/>
      <c r="AD56" s="168"/>
      <c r="AE56" s="168"/>
      <c r="AF56" s="168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</row>
    <row r="57" spans="1:115" s="170" customFormat="1" ht="12" customHeight="1" x14ac:dyDescent="0.25">
      <c r="A57" s="273">
        <v>44680</v>
      </c>
      <c r="B57" s="231" t="s">
        <v>142</v>
      </c>
      <c r="C57" s="274" t="s">
        <v>145</v>
      </c>
      <c r="D57" s="285">
        <v>22</v>
      </c>
      <c r="E57" s="218"/>
      <c r="F57" s="219"/>
      <c r="G57" s="286"/>
      <c r="H57" s="304"/>
      <c r="I57" s="185">
        <v>22</v>
      </c>
      <c r="J57" s="185"/>
      <c r="K57" s="186"/>
      <c r="L57" s="185"/>
      <c r="M57" s="185"/>
      <c r="N57" s="185"/>
      <c r="O57" s="305"/>
      <c r="P57" s="318"/>
      <c r="Q57" s="191"/>
      <c r="R57" s="191"/>
      <c r="S57" s="191"/>
      <c r="T57" s="191"/>
      <c r="U57" s="232"/>
      <c r="V57" s="191"/>
      <c r="W57" s="192"/>
      <c r="X57" s="191"/>
      <c r="Y57" s="191"/>
      <c r="Z57" s="191"/>
      <c r="AA57" s="319"/>
      <c r="AB57" s="168"/>
      <c r="AC57" s="168"/>
      <c r="AD57" s="168"/>
      <c r="AE57" s="168"/>
      <c r="AF57" s="168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</row>
    <row r="58" spans="1:115" s="170" customFormat="1" ht="12" customHeight="1" x14ac:dyDescent="0.25">
      <c r="A58" s="273">
        <v>44680</v>
      </c>
      <c r="B58" s="231" t="s">
        <v>388</v>
      </c>
      <c r="C58" s="274" t="s">
        <v>145</v>
      </c>
      <c r="D58" s="285"/>
      <c r="E58" s="218"/>
      <c r="F58" s="219">
        <v>11.5</v>
      </c>
      <c r="G58" s="286"/>
      <c r="H58" s="304"/>
      <c r="I58" s="185"/>
      <c r="J58" s="185"/>
      <c r="K58" s="186">
        <v>11.5</v>
      </c>
      <c r="L58" s="185"/>
      <c r="M58" s="185"/>
      <c r="N58" s="185"/>
      <c r="O58" s="305"/>
      <c r="P58" s="318"/>
      <c r="Q58" s="191"/>
      <c r="R58" s="191"/>
      <c r="S58" s="191"/>
      <c r="T58" s="191"/>
      <c r="U58" s="232"/>
      <c r="V58" s="191"/>
      <c r="W58" s="192"/>
      <c r="X58" s="191"/>
      <c r="Y58" s="191"/>
      <c r="Z58" s="191"/>
      <c r="AA58" s="319"/>
      <c r="AB58" s="168"/>
      <c r="AC58" s="168"/>
      <c r="AD58" s="168"/>
      <c r="AE58" s="168"/>
      <c r="AF58" s="168"/>
      <c r="AG58" s="168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</row>
    <row r="59" spans="1:115" s="170" customFormat="1" ht="12" customHeight="1" x14ac:dyDescent="0.25">
      <c r="A59" s="273">
        <v>44680</v>
      </c>
      <c r="B59" s="231" t="s">
        <v>389</v>
      </c>
      <c r="C59" s="274" t="s">
        <v>145</v>
      </c>
      <c r="D59" s="285"/>
      <c r="E59" s="218"/>
      <c r="F59" s="219">
        <v>10</v>
      </c>
      <c r="G59" s="286"/>
      <c r="H59" s="304"/>
      <c r="I59" s="185"/>
      <c r="J59" s="185"/>
      <c r="K59" s="186">
        <v>10</v>
      </c>
      <c r="L59" s="185"/>
      <c r="M59" s="185"/>
      <c r="N59" s="185"/>
      <c r="O59" s="305"/>
      <c r="P59" s="318"/>
      <c r="Q59" s="191"/>
      <c r="R59" s="191"/>
      <c r="S59" s="191"/>
      <c r="T59" s="191"/>
      <c r="U59" s="232"/>
      <c r="V59" s="191"/>
      <c r="W59" s="192"/>
      <c r="X59" s="191"/>
      <c r="Y59" s="191"/>
      <c r="Z59" s="191"/>
      <c r="AA59" s="319"/>
      <c r="AB59" s="168"/>
      <c r="AC59" s="168"/>
      <c r="AD59" s="168"/>
      <c r="AE59" s="168"/>
      <c r="AF59" s="168"/>
      <c r="AG59" s="168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</row>
    <row r="60" spans="1:115" s="170" customFormat="1" ht="12" customHeight="1" x14ac:dyDescent="0.25">
      <c r="A60" s="273">
        <v>44680</v>
      </c>
      <c r="B60" s="231" t="s">
        <v>393</v>
      </c>
      <c r="C60" s="274" t="s">
        <v>145</v>
      </c>
      <c r="D60" s="285"/>
      <c r="E60" s="218"/>
      <c r="F60" s="219">
        <v>14</v>
      </c>
      <c r="G60" s="286"/>
      <c r="H60" s="304"/>
      <c r="I60" s="185"/>
      <c r="J60" s="185"/>
      <c r="K60" s="186">
        <v>14</v>
      </c>
      <c r="L60" s="185"/>
      <c r="M60" s="185"/>
      <c r="N60" s="185"/>
      <c r="O60" s="305"/>
      <c r="P60" s="318"/>
      <c r="Q60" s="191"/>
      <c r="R60" s="191"/>
      <c r="S60" s="191"/>
      <c r="T60" s="191"/>
      <c r="U60" s="232"/>
      <c r="V60" s="191"/>
      <c r="W60" s="192"/>
      <c r="X60" s="191"/>
      <c r="Y60" s="191"/>
      <c r="Z60" s="191"/>
      <c r="AA60" s="319"/>
      <c r="AB60" s="168"/>
      <c r="AC60" s="168"/>
      <c r="AD60" s="168"/>
      <c r="AE60" s="168"/>
      <c r="AF60" s="168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</row>
    <row r="61" spans="1:115" s="170" customFormat="1" ht="12" customHeight="1" x14ac:dyDescent="0.25">
      <c r="A61" s="273">
        <v>44680</v>
      </c>
      <c r="B61" s="231" t="s">
        <v>390</v>
      </c>
      <c r="C61" s="274" t="s">
        <v>145</v>
      </c>
      <c r="D61" s="285">
        <v>11</v>
      </c>
      <c r="E61" s="218"/>
      <c r="F61" s="219"/>
      <c r="G61" s="286"/>
      <c r="H61" s="304"/>
      <c r="I61" s="185"/>
      <c r="J61" s="185"/>
      <c r="K61" s="186">
        <v>11</v>
      </c>
      <c r="L61" s="185"/>
      <c r="M61" s="185"/>
      <c r="N61" s="185"/>
      <c r="O61" s="305"/>
      <c r="P61" s="318"/>
      <c r="Q61" s="191"/>
      <c r="R61" s="191"/>
      <c r="S61" s="191"/>
      <c r="T61" s="191"/>
      <c r="U61" s="232"/>
      <c r="V61" s="191"/>
      <c r="W61" s="192"/>
      <c r="X61" s="191"/>
      <c r="Y61" s="191"/>
      <c r="Z61" s="191"/>
      <c r="AA61" s="319"/>
      <c r="AB61" s="168"/>
      <c r="AC61" s="168"/>
      <c r="AD61" s="168"/>
      <c r="AE61" s="168"/>
      <c r="AF61" s="168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</row>
    <row r="62" spans="1:115" s="170" customFormat="1" ht="12" customHeight="1" x14ac:dyDescent="0.25">
      <c r="A62" s="273">
        <v>44680</v>
      </c>
      <c r="B62" s="231" t="s">
        <v>391</v>
      </c>
      <c r="C62" s="274" t="s">
        <v>145</v>
      </c>
      <c r="D62" s="285">
        <v>11</v>
      </c>
      <c r="E62" s="218"/>
      <c r="F62" s="219"/>
      <c r="G62" s="286"/>
      <c r="H62" s="304"/>
      <c r="I62" s="185"/>
      <c r="J62" s="185"/>
      <c r="K62" s="186">
        <v>11</v>
      </c>
      <c r="L62" s="185"/>
      <c r="M62" s="185"/>
      <c r="N62" s="185"/>
      <c r="O62" s="305"/>
      <c r="P62" s="318"/>
      <c r="Q62" s="191"/>
      <c r="R62" s="191"/>
      <c r="S62" s="191"/>
      <c r="T62" s="191"/>
      <c r="U62" s="232"/>
      <c r="V62" s="191"/>
      <c r="W62" s="192"/>
      <c r="X62" s="191"/>
      <c r="Y62" s="191"/>
      <c r="Z62" s="191"/>
      <c r="AA62" s="319"/>
      <c r="AB62" s="168"/>
      <c r="AC62" s="168"/>
      <c r="AD62" s="168"/>
      <c r="AE62" s="168"/>
      <c r="AF62" s="168"/>
      <c r="AG62" s="168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</row>
    <row r="63" spans="1:115" s="170" customFormat="1" ht="12" customHeight="1" x14ac:dyDescent="0.25">
      <c r="A63" s="273">
        <v>44680</v>
      </c>
      <c r="B63" s="231" t="s">
        <v>392</v>
      </c>
      <c r="C63" s="274" t="s">
        <v>145</v>
      </c>
      <c r="D63" s="285"/>
      <c r="E63" s="218"/>
      <c r="F63" s="219">
        <v>45</v>
      </c>
      <c r="G63" s="286"/>
      <c r="H63" s="304"/>
      <c r="I63" s="185"/>
      <c r="J63" s="185"/>
      <c r="K63" s="186">
        <v>45</v>
      </c>
      <c r="L63" s="185"/>
      <c r="M63" s="185"/>
      <c r="N63" s="185"/>
      <c r="O63" s="305"/>
      <c r="P63" s="318"/>
      <c r="Q63" s="191"/>
      <c r="R63" s="191"/>
      <c r="S63" s="191"/>
      <c r="T63" s="191"/>
      <c r="U63" s="232"/>
      <c r="V63" s="191"/>
      <c r="W63" s="192"/>
      <c r="X63" s="191"/>
      <c r="Y63" s="191"/>
      <c r="Z63" s="191"/>
      <c r="AA63" s="319"/>
      <c r="AB63" s="168"/>
      <c r="AC63" s="168"/>
      <c r="AD63" s="168"/>
      <c r="AE63" s="168"/>
      <c r="AF63" s="168"/>
      <c r="AG63" s="168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</row>
    <row r="64" spans="1:115" s="170" customFormat="1" ht="12" customHeight="1" x14ac:dyDescent="0.25">
      <c r="A64" s="273">
        <v>44680</v>
      </c>
      <c r="B64" s="231" t="s">
        <v>397</v>
      </c>
      <c r="C64" s="274" t="s">
        <v>145</v>
      </c>
      <c r="D64" s="285"/>
      <c r="E64" s="218"/>
      <c r="F64" s="219"/>
      <c r="G64" s="286">
        <v>7.8</v>
      </c>
      <c r="H64" s="304"/>
      <c r="I64" s="185"/>
      <c r="J64" s="185"/>
      <c r="K64" s="186"/>
      <c r="L64" s="185"/>
      <c r="M64" s="185"/>
      <c r="N64" s="185"/>
      <c r="O64" s="305"/>
      <c r="P64" s="318"/>
      <c r="Q64" s="191">
        <v>7.8</v>
      </c>
      <c r="R64" s="191"/>
      <c r="S64" s="191"/>
      <c r="T64" s="191"/>
      <c r="U64" s="232"/>
      <c r="V64" s="191"/>
      <c r="W64" s="192"/>
      <c r="X64" s="191"/>
      <c r="Y64" s="191"/>
      <c r="Z64" s="191"/>
      <c r="AA64" s="319"/>
      <c r="AB64" s="168"/>
      <c r="AC64" s="168"/>
      <c r="AD64" s="168"/>
      <c r="AE64" s="168"/>
      <c r="AF64" s="168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</row>
    <row r="65" spans="1:115" s="170" customFormat="1" ht="12" customHeight="1" x14ac:dyDescent="0.25">
      <c r="A65" s="273">
        <v>44680</v>
      </c>
      <c r="B65" s="231" t="s">
        <v>394</v>
      </c>
      <c r="C65" s="274" t="s">
        <v>145</v>
      </c>
      <c r="D65" s="285">
        <v>150</v>
      </c>
      <c r="E65" s="218"/>
      <c r="F65" s="219"/>
      <c r="G65" s="286"/>
      <c r="H65" s="304"/>
      <c r="I65" s="185">
        <v>150</v>
      </c>
      <c r="J65" s="185"/>
      <c r="K65" s="186"/>
      <c r="L65" s="185"/>
      <c r="M65" s="185"/>
      <c r="N65" s="185"/>
      <c r="O65" s="305"/>
      <c r="P65" s="318"/>
      <c r="Q65" s="191"/>
      <c r="R65" s="191"/>
      <c r="S65" s="191"/>
      <c r="T65" s="191"/>
      <c r="U65" s="232"/>
      <c r="V65" s="191"/>
      <c r="W65" s="192"/>
      <c r="X65" s="191"/>
      <c r="Y65" s="191"/>
      <c r="Z65" s="191"/>
      <c r="AA65" s="319"/>
      <c r="AB65" s="168"/>
      <c r="AC65" s="168"/>
      <c r="AD65" s="168"/>
      <c r="AE65" s="168"/>
      <c r="AF65" s="168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</row>
    <row r="66" spans="1:115" s="170" customFormat="1" ht="12" customHeight="1" x14ac:dyDescent="0.25">
      <c r="A66" s="273">
        <v>44681</v>
      </c>
      <c r="B66" s="231" t="s">
        <v>211</v>
      </c>
      <c r="C66" s="274" t="s">
        <v>145</v>
      </c>
      <c r="D66" s="285"/>
      <c r="E66" s="218">
        <v>9.2200000000000006</v>
      </c>
      <c r="F66" s="219"/>
      <c r="G66" s="286"/>
      <c r="H66" s="304"/>
      <c r="I66" s="185"/>
      <c r="J66" s="185"/>
      <c r="K66" s="186"/>
      <c r="L66" s="185"/>
      <c r="M66" s="185"/>
      <c r="N66" s="185"/>
      <c r="O66" s="305"/>
      <c r="P66" s="318"/>
      <c r="Q66" s="191"/>
      <c r="R66" s="191"/>
      <c r="S66" s="191"/>
      <c r="T66" s="191"/>
      <c r="U66" s="232"/>
      <c r="V66" s="191"/>
      <c r="W66" s="192"/>
      <c r="X66" s="191"/>
      <c r="Y66" s="191">
        <v>9.2200000000000006</v>
      </c>
      <c r="Z66" s="191"/>
      <c r="AA66" s="319"/>
      <c r="AB66" s="168"/>
      <c r="AC66" s="168"/>
      <c r="AD66" s="168"/>
      <c r="AE66" s="168"/>
      <c r="AF66" s="168"/>
      <c r="AG66" s="168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</row>
    <row r="67" spans="1:115" s="170" customFormat="1" ht="12" customHeight="1" x14ac:dyDescent="0.25">
      <c r="A67" s="273">
        <v>44681</v>
      </c>
      <c r="B67" s="231" t="s">
        <v>395</v>
      </c>
      <c r="C67" s="274" t="s">
        <v>145</v>
      </c>
      <c r="D67" s="285">
        <v>224.1</v>
      </c>
      <c r="E67" s="218"/>
      <c r="F67" s="219"/>
      <c r="G67" s="286">
        <v>224.1</v>
      </c>
      <c r="H67" s="304"/>
      <c r="I67" s="185"/>
      <c r="J67" s="185"/>
      <c r="K67" s="186"/>
      <c r="L67" s="185"/>
      <c r="M67" s="185"/>
      <c r="N67" s="185"/>
      <c r="O67" s="305"/>
      <c r="P67" s="318"/>
      <c r="Q67" s="191"/>
      <c r="R67" s="191"/>
      <c r="S67" s="191"/>
      <c r="T67" s="191"/>
      <c r="U67" s="232"/>
      <c r="V67" s="191"/>
      <c r="W67" s="192"/>
      <c r="X67" s="191"/>
      <c r="Y67" s="191"/>
      <c r="Z67" s="191"/>
      <c r="AA67" s="319"/>
      <c r="AB67" s="168"/>
      <c r="AC67" s="168"/>
      <c r="AD67" s="168"/>
      <c r="AE67" s="168"/>
      <c r="AF67" s="168"/>
      <c r="AG67" s="168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</row>
    <row r="68" spans="1:115" s="170" customFormat="1" ht="12" customHeight="1" x14ac:dyDescent="0.25">
      <c r="A68" s="273">
        <v>44681</v>
      </c>
      <c r="B68" s="231" t="s">
        <v>215</v>
      </c>
      <c r="C68" s="274" t="s">
        <v>145</v>
      </c>
      <c r="D68" s="285"/>
      <c r="E68" s="218">
        <v>60</v>
      </c>
      <c r="F68" s="219"/>
      <c r="G68" s="286"/>
      <c r="H68" s="304"/>
      <c r="I68" s="185"/>
      <c r="J68" s="185"/>
      <c r="K68" s="186"/>
      <c r="L68" s="185"/>
      <c r="M68" s="185"/>
      <c r="N68" s="185"/>
      <c r="O68" s="305"/>
      <c r="P68" s="318"/>
      <c r="Q68" s="191"/>
      <c r="R68" s="191"/>
      <c r="S68" s="191"/>
      <c r="T68" s="191"/>
      <c r="U68" s="232"/>
      <c r="V68" s="191">
        <v>60</v>
      </c>
      <c r="W68" s="192"/>
      <c r="X68" s="191"/>
      <c r="Y68" s="191"/>
      <c r="Z68" s="191"/>
      <c r="AA68" s="319"/>
      <c r="AB68" s="168"/>
      <c r="AC68" s="168"/>
      <c r="AD68" s="168"/>
      <c r="AE68" s="168"/>
      <c r="AF68" s="168"/>
      <c r="AG68" s="168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</row>
    <row r="69" spans="1:115" s="170" customFormat="1" ht="12" customHeight="1" x14ac:dyDescent="0.25">
      <c r="A69" s="273">
        <v>44681</v>
      </c>
      <c r="B69" s="231" t="s">
        <v>396</v>
      </c>
      <c r="C69" s="274" t="s">
        <v>145</v>
      </c>
      <c r="D69" s="285">
        <v>100.8</v>
      </c>
      <c r="E69" s="218"/>
      <c r="F69" s="219"/>
      <c r="G69" s="286"/>
      <c r="H69" s="304"/>
      <c r="I69" s="185">
        <v>100.8</v>
      </c>
      <c r="J69" s="185"/>
      <c r="K69" s="186"/>
      <c r="L69" s="185"/>
      <c r="M69" s="185"/>
      <c r="N69" s="185"/>
      <c r="O69" s="305"/>
      <c r="P69" s="318"/>
      <c r="Q69" s="191"/>
      <c r="R69" s="191"/>
      <c r="S69" s="191"/>
      <c r="T69" s="191"/>
      <c r="U69" s="232"/>
      <c r="V69" s="191"/>
      <c r="W69" s="192"/>
      <c r="X69" s="191"/>
      <c r="Y69" s="191"/>
      <c r="Z69" s="191"/>
      <c r="AA69" s="319"/>
      <c r="AB69" s="168"/>
      <c r="AC69" s="168"/>
      <c r="AD69" s="168"/>
      <c r="AE69" s="168"/>
      <c r="AF69" s="168"/>
      <c r="AG69" s="168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</row>
    <row r="70" spans="1:115" s="170" customFormat="1" ht="12" customHeight="1" x14ac:dyDescent="0.25">
      <c r="A70" s="275">
        <v>44681</v>
      </c>
      <c r="B70" s="230" t="s">
        <v>398</v>
      </c>
      <c r="C70" s="276" t="s">
        <v>145</v>
      </c>
      <c r="D70" s="287"/>
      <c r="E70" s="220"/>
      <c r="F70" s="221"/>
      <c r="G70" s="288">
        <v>24.28</v>
      </c>
      <c r="H70" s="306"/>
      <c r="I70" s="183"/>
      <c r="J70" s="183"/>
      <c r="K70" s="184"/>
      <c r="L70" s="183"/>
      <c r="M70" s="183"/>
      <c r="N70" s="183"/>
      <c r="O70" s="307"/>
      <c r="P70" s="320"/>
      <c r="Q70" s="189">
        <v>24.28</v>
      </c>
      <c r="R70" s="189"/>
      <c r="S70" s="189"/>
      <c r="T70" s="189"/>
      <c r="U70" s="189"/>
      <c r="V70" s="189"/>
      <c r="W70" s="190"/>
      <c r="X70" s="189"/>
      <c r="Y70" s="189"/>
      <c r="Z70" s="189"/>
      <c r="AA70" s="321"/>
      <c r="AB70" s="168"/>
      <c r="AC70" s="168"/>
      <c r="AD70" s="168"/>
      <c r="AE70" s="168"/>
      <c r="AF70" s="168"/>
      <c r="AG70" s="168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</row>
    <row r="71" spans="1:115" s="9" customFormat="1" ht="11" thickBot="1" x14ac:dyDescent="0.3">
      <c r="A71" s="277" t="s">
        <v>25</v>
      </c>
      <c r="B71" s="278"/>
      <c r="C71" s="279"/>
      <c r="D71" s="289">
        <f t="shared" ref="D71:AA71" si="0">SUM(D6:D70)</f>
        <v>2691.89</v>
      </c>
      <c r="E71" s="290">
        <f t="shared" si="0"/>
        <v>3135.41</v>
      </c>
      <c r="F71" s="291">
        <f t="shared" si="0"/>
        <v>442.95000000000005</v>
      </c>
      <c r="G71" s="292">
        <f t="shared" si="0"/>
        <v>467.23</v>
      </c>
      <c r="H71" s="289">
        <f t="shared" si="0"/>
        <v>23.05</v>
      </c>
      <c r="I71" s="290">
        <f t="shared" si="0"/>
        <v>1670.54</v>
      </c>
      <c r="J71" s="290">
        <f t="shared" si="0"/>
        <v>0</v>
      </c>
      <c r="K71" s="290">
        <f t="shared" si="0"/>
        <v>1018.1</v>
      </c>
      <c r="L71" s="290">
        <f t="shared" si="0"/>
        <v>0</v>
      </c>
      <c r="M71" s="290">
        <f t="shared" si="0"/>
        <v>0</v>
      </c>
      <c r="N71" s="290">
        <f t="shared" si="0"/>
        <v>0</v>
      </c>
      <c r="O71" s="308">
        <f t="shared" si="0"/>
        <v>0</v>
      </c>
      <c r="P71" s="322">
        <f t="shared" si="0"/>
        <v>347.02</v>
      </c>
      <c r="Q71" s="323">
        <f t="shared" si="0"/>
        <v>32.08</v>
      </c>
      <c r="R71" s="323">
        <f t="shared" si="0"/>
        <v>0</v>
      </c>
      <c r="S71" s="323">
        <f t="shared" si="0"/>
        <v>12</v>
      </c>
      <c r="T71" s="323">
        <f t="shared" si="0"/>
        <v>985.5</v>
      </c>
      <c r="U71" s="323">
        <f t="shared" si="0"/>
        <v>1508.34</v>
      </c>
      <c r="V71" s="323">
        <f t="shared" si="0"/>
        <v>262.79000000000002</v>
      </c>
      <c r="W71" s="323">
        <f t="shared" si="0"/>
        <v>10.44</v>
      </c>
      <c r="X71" s="323">
        <f t="shared" si="0"/>
        <v>0</v>
      </c>
      <c r="Y71" s="323">
        <f t="shared" si="0"/>
        <v>21.32</v>
      </c>
      <c r="Z71" s="323">
        <f t="shared" si="0"/>
        <v>0</v>
      </c>
      <c r="AA71" s="324">
        <f t="shared" si="0"/>
        <v>0</v>
      </c>
      <c r="AB71" s="37"/>
      <c r="AC71" s="37"/>
      <c r="AD71" s="37"/>
      <c r="AE71" s="37"/>
      <c r="AF71" s="37"/>
      <c r="AG71" s="37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15" s="38" customFormat="1" ht="11.5" thickTop="1" thickBot="1" x14ac:dyDescent="0.3">
      <c r="A72" s="326"/>
      <c r="B72" s="327"/>
      <c r="C72" s="328"/>
      <c r="D72" s="336"/>
      <c r="E72" s="337"/>
      <c r="F72" s="338"/>
      <c r="G72" s="339"/>
      <c r="H72" s="353"/>
      <c r="I72" s="338"/>
      <c r="J72" s="338"/>
      <c r="K72" s="354"/>
      <c r="L72" s="338"/>
      <c r="M72" s="338"/>
      <c r="N72" s="355"/>
      <c r="O72" s="339"/>
      <c r="P72" s="372"/>
      <c r="Q72" s="373"/>
      <c r="R72" s="373"/>
      <c r="S72" s="373"/>
      <c r="T72" s="374"/>
      <c r="U72" s="373"/>
      <c r="V72" s="373"/>
      <c r="W72" s="375"/>
      <c r="X72" s="376"/>
      <c r="Y72" s="376"/>
      <c r="Z72" s="376"/>
      <c r="AA72" s="377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</row>
    <row r="73" spans="1:115" s="6" customFormat="1" ht="53.5" thickTop="1" thickBot="1" x14ac:dyDescent="0.3">
      <c r="A73" s="329" t="s">
        <v>1</v>
      </c>
      <c r="B73" s="12" t="s">
        <v>2</v>
      </c>
      <c r="C73" s="330"/>
      <c r="D73" s="340" t="s">
        <v>3</v>
      </c>
      <c r="E73" s="233"/>
      <c r="F73" s="233" t="s">
        <v>4</v>
      </c>
      <c r="G73" s="341"/>
      <c r="H73" s="356" t="s">
        <v>5</v>
      </c>
      <c r="I73" s="13" t="s">
        <v>6</v>
      </c>
      <c r="J73" s="13" t="s">
        <v>7</v>
      </c>
      <c r="K73" s="14" t="s">
        <v>8</v>
      </c>
      <c r="L73" s="15" t="s">
        <v>9</v>
      </c>
      <c r="M73" s="14" t="s">
        <v>10</v>
      </c>
      <c r="N73" s="14" t="s">
        <v>11</v>
      </c>
      <c r="O73" s="357" t="s">
        <v>12</v>
      </c>
      <c r="P73" s="293" t="s">
        <v>13</v>
      </c>
      <c r="Q73" s="297" t="s">
        <v>98</v>
      </c>
      <c r="R73" s="309" t="s">
        <v>14</v>
      </c>
      <c r="S73" s="310" t="s">
        <v>15</v>
      </c>
      <c r="T73" s="311" t="s">
        <v>16</v>
      </c>
      <c r="U73" s="297" t="s">
        <v>17</v>
      </c>
      <c r="V73" s="297" t="s">
        <v>18</v>
      </c>
      <c r="W73" s="294" t="s">
        <v>63</v>
      </c>
      <c r="X73" s="312" t="s">
        <v>19</v>
      </c>
      <c r="Y73" s="297" t="s">
        <v>65</v>
      </c>
      <c r="Z73" s="297" t="s">
        <v>102</v>
      </c>
      <c r="AA73" s="298" t="s">
        <v>104</v>
      </c>
    </row>
    <row r="74" spans="1:115" s="6" customFormat="1" ht="11" thickBot="1" x14ac:dyDescent="0.3">
      <c r="A74" s="331"/>
      <c r="B74" s="16"/>
      <c r="C74" s="332"/>
      <c r="D74" s="342" t="s">
        <v>22</v>
      </c>
      <c r="E74" s="39" t="s">
        <v>23</v>
      </c>
      <c r="F74" s="16" t="s">
        <v>22</v>
      </c>
      <c r="G74" s="343" t="s">
        <v>23</v>
      </c>
      <c r="H74" s="331" t="s">
        <v>22</v>
      </c>
      <c r="I74" s="16" t="s">
        <v>22</v>
      </c>
      <c r="J74" s="16" t="s">
        <v>22</v>
      </c>
      <c r="K74" s="17" t="s">
        <v>22</v>
      </c>
      <c r="L74" s="18" t="s">
        <v>22</v>
      </c>
      <c r="M74" s="19" t="s">
        <v>22</v>
      </c>
      <c r="N74" s="20"/>
      <c r="O74" s="358" t="s">
        <v>22</v>
      </c>
      <c r="P74" s="331" t="s">
        <v>23</v>
      </c>
      <c r="Q74" s="16" t="s">
        <v>23</v>
      </c>
      <c r="R74" s="18" t="s">
        <v>23</v>
      </c>
      <c r="S74" s="18" t="s">
        <v>23</v>
      </c>
      <c r="T74" s="16" t="s">
        <v>23</v>
      </c>
      <c r="U74" s="16" t="s">
        <v>23</v>
      </c>
      <c r="V74" s="16" t="s">
        <v>23</v>
      </c>
      <c r="W74" s="19" t="s">
        <v>23</v>
      </c>
      <c r="X74" s="16" t="s">
        <v>23</v>
      </c>
      <c r="Y74" s="16" t="s">
        <v>23</v>
      </c>
      <c r="Z74" s="16" t="s">
        <v>23</v>
      </c>
      <c r="AA74" s="378" t="s">
        <v>23</v>
      </c>
    </row>
    <row r="75" spans="1:115" s="21" customFormat="1" ht="11" thickBot="1" x14ac:dyDescent="0.3">
      <c r="A75" s="333"/>
      <c r="B75" s="334"/>
      <c r="C75" s="335"/>
      <c r="D75" s="344">
        <f t="shared" ref="D75:AA75" si="1">SUM(D5:D70)</f>
        <v>13705.400000000003</v>
      </c>
      <c r="E75" s="345">
        <f t="shared" si="1"/>
        <v>3135.41</v>
      </c>
      <c r="F75" s="345">
        <f t="shared" si="1"/>
        <v>530.18000000000006</v>
      </c>
      <c r="G75" s="346">
        <f t="shared" si="1"/>
        <v>467.23</v>
      </c>
      <c r="H75" s="359">
        <f t="shared" si="1"/>
        <v>23.05</v>
      </c>
      <c r="I75" s="360">
        <f t="shared" si="1"/>
        <v>1670.54</v>
      </c>
      <c r="J75" s="360">
        <f t="shared" si="1"/>
        <v>0</v>
      </c>
      <c r="K75" s="360">
        <f t="shared" si="1"/>
        <v>1018.1</v>
      </c>
      <c r="L75" s="360">
        <f t="shared" si="1"/>
        <v>0</v>
      </c>
      <c r="M75" s="360">
        <f t="shared" si="1"/>
        <v>0</v>
      </c>
      <c r="N75" s="360">
        <f t="shared" si="1"/>
        <v>0</v>
      </c>
      <c r="O75" s="361">
        <f t="shared" si="1"/>
        <v>11100.740000000003</v>
      </c>
      <c r="P75" s="359">
        <f t="shared" si="1"/>
        <v>347.02</v>
      </c>
      <c r="Q75" s="360">
        <f t="shared" si="1"/>
        <v>32.08</v>
      </c>
      <c r="R75" s="360">
        <f t="shared" si="1"/>
        <v>0</v>
      </c>
      <c r="S75" s="360">
        <f t="shared" si="1"/>
        <v>12</v>
      </c>
      <c r="T75" s="360">
        <f t="shared" si="1"/>
        <v>985.5</v>
      </c>
      <c r="U75" s="360">
        <f t="shared" si="1"/>
        <v>1508.34</v>
      </c>
      <c r="V75" s="360">
        <f t="shared" si="1"/>
        <v>262.79000000000002</v>
      </c>
      <c r="W75" s="360">
        <f t="shared" si="1"/>
        <v>10.44</v>
      </c>
      <c r="X75" s="360">
        <f t="shared" si="1"/>
        <v>0</v>
      </c>
      <c r="Y75" s="360">
        <f t="shared" si="1"/>
        <v>21.32</v>
      </c>
      <c r="Z75" s="360">
        <f t="shared" si="1"/>
        <v>0</v>
      </c>
      <c r="AA75" s="361">
        <f t="shared" si="1"/>
        <v>0</v>
      </c>
    </row>
    <row r="76" spans="1:115" s="6" customFormat="1" ht="11.5" thickTop="1" thickBot="1" x14ac:dyDescent="0.3">
      <c r="A76" s="347"/>
      <c r="B76" s="348" t="s">
        <v>26</v>
      </c>
      <c r="C76" s="349"/>
      <c r="D76" s="350">
        <f>SUM(D75-E75)</f>
        <v>10569.990000000003</v>
      </c>
      <c r="E76" s="351"/>
      <c r="F76" s="350">
        <f>SUM(F75-G75)</f>
        <v>62.950000000000045</v>
      </c>
      <c r="G76" s="352"/>
      <c r="H76" s="363"/>
      <c r="I76" s="379"/>
      <c r="J76" s="379" t="s">
        <v>20</v>
      </c>
      <c r="K76" s="365"/>
      <c r="L76" s="364"/>
      <c r="M76" s="364" t="s">
        <v>20</v>
      </c>
      <c r="N76" s="366"/>
      <c r="O76" s="367" t="s">
        <v>20</v>
      </c>
      <c r="P76" s="363"/>
      <c r="Q76" s="364"/>
      <c r="R76" s="364" t="s">
        <v>20</v>
      </c>
      <c r="S76" s="364" t="s">
        <v>20</v>
      </c>
      <c r="T76" s="364" t="s">
        <v>20</v>
      </c>
      <c r="U76" s="371"/>
      <c r="V76" s="364" t="s">
        <v>20</v>
      </c>
      <c r="W76" s="371"/>
      <c r="X76" s="364" t="s">
        <v>20</v>
      </c>
      <c r="Y76" s="364" t="s">
        <v>20</v>
      </c>
      <c r="Z76" s="364" t="s">
        <v>20</v>
      </c>
      <c r="AA76" s="352" t="s">
        <v>20</v>
      </c>
    </row>
    <row r="77" spans="1:115" s="6" customFormat="1" ht="13.5" thickTop="1" thickBot="1" x14ac:dyDescent="0.3">
      <c r="A77" s="2"/>
      <c r="B77" s="2"/>
      <c r="C77" s="55"/>
      <c r="D77" s="35"/>
      <c r="E77" s="34"/>
      <c r="F77" s="4"/>
      <c r="I77" s="546" t="s">
        <v>27</v>
      </c>
      <c r="J77" s="547"/>
      <c r="K77" s="362">
        <f>SUM(H75:O75)</f>
        <v>13812.430000000004</v>
      </c>
      <c r="O77" s="22"/>
      <c r="P77" s="4"/>
      <c r="Q77" s="6" t="s">
        <v>28</v>
      </c>
      <c r="R77" s="368" t="s">
        <v>20</v>
      </c>
      <c r="S77" s="369">
        <f>SUM(P75:AA75)</f>
        <v>3179.49</v>
      </c>
      <c r="T77" s="370"/>
    </row>
    <row r="78" spans="1:115" s="6" customFormat="1" ht="11" thickBot="1" x14ac:dyDescent="0.3">
      <c r="A78" s="2"/>
      <c r="B78" s="23" t="s">
        <v>29</v>
      </c>
      <c r="C78" s="23"/>
      <c r="D78" s="40" t="s">
        <v>20</v>
      </c>
      <c r="E78" s="193">
        <f>SUM(D75-E75+F75-G75)</f>
        <v>10632.940000000004</v>
      </c>
      <c r="F78" s="25" t="s">
        <v>49</v>
      </c>
      <c r="H78" s="26"/>
      <c r="I78" s="46"/>
      <c r="J78" s="46"/>
      <c r="K78" s="27"/>
      <c r="M78" s="7"/>
      <c r="N78" s="46"/>
      <c r="O78" s="24">
        <f>E75</f>
        <v>3135.41</v>
      </c>
      <c r="P78" s="540">
        <f>SUM(K77-S77)</f>
        <v>10632.940000000004</v>
      </c>
      <c r="Q78" s="540"/>
      <c r="R78" s="541" t="s">
        <v>30</v>
      </c>
      <c r="S78" s="541"/>
      <c r="T78" s="541"/>
    </row>
    <row r="79" spans="1:115" s="6" customFormat="1" ht="10.5" x14ac:dyDescent="0.25">
      <c r="A79" s="1"/>
      <c r="B79" s="2"/>
      <c r="C79" s="55"/>
      <c r="D79" s="28"/>
      <c r="E79" s="34"/>
      <c r="F79" s="4"/>
      <c r="G79" s="3"/>
      <c r="H79" s="3"/>
      <c r="I79" s="3"/>
      <c r="J79" s="3"/>
      <c r="K79" s="5"/>
      <c r="L79" s="3"/>
      <c r="M79" s="3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115" s="6" customFormat="1" x14ac:dyDescent="0.25">
      <c r="A80" s="1"/>
      <c r="B80" s="2"/>
      <c r="C80" s="2"/>
      <c r="D80" s="542" t="s">
        <v>52</v>
      </c>
      <c r="E80" s="543"/>
      <c r="F80" s="194">
        <f>62.93-24.28</f>
        <v>38.65</v>
      </c>
      <c r="G80" s="197">
        <f>10413.19+(34+11+11)+100.8</f>
        <v>10569.99</v>
      </c>
      <c r="H80" s="52" t="s">
        <v>54</v>
      </c>
      <c r="I80" s="57"/>
      <c r="J80" s="3"/>
      <c r="K80" s="5"/>
      <c r="L80" s="3"/>
      <c r="M80" s="3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s="6" customFormat="1" x14ac:dyDescent="0.25">
      <c r="A81" s="1"/>
      <c r="B81" s="2"/>
      <c r="C81" s="2"/>
      <c r="D81" s="544" t="s">
        <v>34</v>
      </c>
      <c r="E81" s="545"/>
      <c r="F81" s="195">
        <v>24.3</v>
      </c>
      <c r="G81" s="197">
        <f>D76</f>
        <v>10569.990000000003</v>
      </c>
      <c r="H81" s="52" t="s">
        <v>60</v>
      </c>
      <c r="I81" s="57"/>
      <c r="J81" s="3"/>
      <c r="K81" s="5"/>
      <c r="L81" s="3"/>
      <c r="M81" s="3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6" customFormat="1" x14ac:dyDescent="0.25">
      <c r="A82" s="1"/>
      <c r="B82" s="2"/>
      <c r="C82" s="2"/>
      <c r="D82" s="544" t="s">
        <v>85</v>
      </c>
      <c r="E82" s="545"/>
      <c r="F82" s="194">
        <f>0</f>
        <v>0</v>
      </c>
      <c r="G82" s="198">
        <f>G80-G81</f>
        <v>0</v>
      </c>
      <c r="H82" s="53" t="s">
        <v>50</v>
      </c>
      <c r="I82" s="3"/>
      <c r="J82" s="3"/>
      <c r="K82" s="5"/>
      <c r="L82" s="3"/>
      <c r="M82" s="3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6" customFormat="1" x14ac:dyDescent="0.25">
      <c r="A83" s="1"/>
      <c r="B83" s="2"/>
      <c r="C83" s="2"/>
      <c r="D83" s="533" t="s">
        <v>50</v>
      </c>
      <c r="E83" s="534"/>
      <c r="F83" s="196">
        <f>F80+F81+F82-F76</f>
        <v>0</v>
      </c>
      <c r="G83" s="84"/>
      <c r="H83" s="85"/>
      <c r="I83" s="3"/>
      <c r="J83" s="3"/>
      <c r="K83" s="5"/>
      <c r="L83" s="3"/>
      <c r="M83" s="3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</sheetData>
  <sheetProtection selectLockedCells="1" selectUnlockedCells="1"/>
  <mergeCells count="10">
    <mergeCell ref="A1:B1"/>
    <mergeCell ref="D3:E3"/>
    <mergeCell ref="F3:G3"/>
    <mergeCell ref="I77:J77"/>
    <mergeCell ref="D83:E83"/>
    <mergeCell ref="P78:Q78"/>
    <mergeCell ref="R78:T78"/>
    <mergeCell ref="D80:E80"/>
    <mergeCell ref="D81:E81"/>
    <mergeCell ref="D82:E82"/>
  </mergeCells>
  <printOptions horizontalCentered="1"/>
  <pageMargins left="0.39374999999999999" right="0.39374999999999999" top="0.51180555555555551" bottom="0.51180555555555551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  <oddFooter>&amp;CAVRIL 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I1133"/>
  <sheetViews>
    <sheetView showGridLines="0" workbookViewId="0">
      <selection activeCell="A31" sqref="A31:XFD31"/>
    </sheetView>
  </sheetViews>
  <sheetFormatPr baseColWidth="10" defaultColWidth="10.81640625" defaultRowHeight="10.5" x14ac:dyDescent="0.25"/>
  <cols>
    <col min="1" max="1" width="10.81640625" style="58"/>
    <col min="2" max="2" width="23.90625" style="58" bestFit="1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10">
        <v>44687</v>
      </c>
      <c r="B2" s="56" t="s">
        <v>403</v>
      </c>
      <c r="C2" s="205"/>
      <c r="D2" s="204"/>
      <c r="E2" s="204">
        <v>181</v>
      </c>
      <c r="F2" s="204">
        <f t="shared" ref="F2:F25" si="0">SUM(C2:E2)</f>
        <v>181</v>
      </c>
      <c r="G2" s="211" t="s">
        <v>145</v>
      </c>
    </row>
    <row r="3" spans="1:35" ht="13" x14ac:dyDescent="0.3">
      <c r="A3" s="210">
        <v>44687</v>
      </c>
      <c r="B3" s="56" t="s">
        <v>404</v>
      </c>
      <c r="C3" s="205"/>
      <c r="D3" s="204"/>
      <c r="E3" s="204">
        <v>30</v>
      </c>
      <c r="F3" s="204">
        <f>SUM(C3:E3)</f>
        <v>30</v>
      </c>
      <c r="G3" s="211" t="s">
        <v>145</v>
      </c>
    </row>
    <row r="4" spans="1:35" ht="13" x14ac:dyDescent="0.3">
      <c r="A4" s="210">
        <v>44687</v>
      </c>
      <c r="B4" s="56" t="s">
        <v>405</v>
      </c>
      <c r="C4" s="205"/>
      <c r="D4" s="204">
        <v>120</v>
      </c>
      <c r="E4" s="204"/>
      <c r="F4" s="202">
        <f t="shared" si="0"/>
        <v>120</v>
      </c>
      <c r="G4" s="211" t="s">
        <v>145</v>
      </c>
    </row>
    <row r="5" spans="1:35" ht="13" x14ac:dyDescent="0.3">
      <c r="A5" s="210">
        <v>44687</v>
      </c>
      <c r="B5" s="56" t="s">
        <v>406</v>
      </c>
      <c r="C5" s="205"/>
      <c r="D5" s="204">
        <v>24</v>
      </c>
      <c r="E5" s="204"/>
      <c r="F5" s="202">
        <f t="shared" si="0"/>
        <v>24</v>
      </c>
      <c r="G5" s="211" t="s">
        <v>145</v>
      </c>
    </row>
    <row r="6" spans="1:35" ht="13" x14ac:dyDescent="0.3">
      <c r="A6" s="210">
        <v>44687</v>
      </c>
      <c r="B6" s="56" t="s">
        <v>407</v>
      </c>
      <c r="C6" s="205"/>
      <c r="D6" s="204"/>
      <c r="E6" s="204">
        <v>35</v>
      </c>
      <c r="F6" s="202">
        <f t="shared" si="0"/>
        <v>35</v>
      </c>
      <c r="G6" s="211" t="s">
        <v>145</v>
      </c>
    </row>
    <row r="7" spans="1:35" ht="13" x14ac:dyDescent="0.3">
      <c r="A7" s="210">
        <v>44687</v>
      </c>
      <c r="B7" s="56" t="s">
        <v>408</v>
      </c>
      <c r="C7" s="205"/>
      <c r="D7" s="204"/>
      <c r="E7" s="204">
        <v>63</v>
      </c>
      <c r="F7" s="202">
        <f t="shared" si="0"/>
        <v>63</v>
      </c>
      <c r="G7" s="211" t="s">
        <v>145</v>
      </c>
    </row>
    <row r="8" spans="1:35" ht="13" x14ac:dyDescent="0.3">
      <c r="A8" s="210">
        <v>44694</v>
      </c>
      <c r="B8" s="56" t="s">
        <v>413</v>
      </c>
      <c r="C8" s="205">
        <v>190.2</v>
      </c>
      <c r="D8" s="204"/>
      <c r="E8" s="204"/>
      <c r="F8" s="202">
        <f t="shared" si="0"/>
        <v>190.2</v>
      </c>
      <c r="G8" s="211" t="s">
        <v>145</v>
      </c>
    </row>
    <row r="9" spans="1:35" ht="13" x14ac:dyDescent="0.3">
      <c r="A9" s="210">
        <v>44694</v>
      </c>
      <c r="B9" s="56" t="s">
        <v>415</v>
      </c>
      <c r="C9" s="205"/>
      <c r="D9" s="204"/>
      <c r="E9" s="205">
        <v>45</v>
      </c>
      <c r="F9" s="202">
        <f t="shared" si="0"/>
        <v>45</v>
      </c>
      <c r="G9" s="211" t="s">
        <v>145</v>
      </c>
    </row>
    <row r="10" spans="1:35" s="162" customFormat="1" ht="13" x14ac:dyDescent="0.3">
      <c r="A10" s="210">
        <v>44694</v>
      </c>
      <c r="B10" s="56" t="s">
        <v>417</v>
      </c>
      <c r="C10" s="205"/>
      <c r="D10" s="200"/>
      <c r="E10" s="204">
        <v>20</v>
      </c>
      <c r="F10" s="202">
        <f t="shared" si="0"/>
        <v>20</v>
      </c>
      <c r="G10" s="211" t="s">
        <v>145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" customFormat="1" ht="13" x14ac:dyDescent="0.3">
      <c r="A11" s="210">
        <v>44694</v>
      </c>
      <c r="B11" s="56" t="s">
        <v>419</v>
      </c>
      <c r="C11" s="205"/>
      <c r="D11" s="200"/>
      <c r="E11" s="204">
        <v>22</v>
      </c>
      <c r="F11" s="202">
        <f t="shared" si="0"/>
        <v>22</v>
      </c>
      <c r="G11" s="211" t="s">
        <v>145</v>
      </c>
    </row>
    <row r="12" spans="1:35" s="3" customFormat="1" ht="13" x14ac:dyDescent="0.3">
      <c r="A12" s="210">
        <v>44694</v>
      </c>
      <c r="B12" s="56" t="s">
        <v>418</v>
      </c>
      <c r="C12" s="205"/>
      <c r="D12" s="200"/>
      <c r="E12" s="204">
        <v>10</v>
      </c>
      <c r="F12" s="202">
        <f t="shared" si="0"/>
        <v>10</v>
      </c>
      <c r="G12" s="211" t="s">
        <v>145</v>
      </c>
    </row>
    <row r="13" spans="1:35" s="3" customFormat="1" ht="13" x14ac:dyDescent="0.3">
      <c r="A13" s="210">
        <v>44694</v>
      </c>
      <c r="B13" s="56" t="s">
        <v>419</v>
      </c>
      <c r="C13" s="205"/>
      <c r="D13" s="200">
        <v>118</v>
      </c>
      <c r="E13" s="204"/>
      <c r="F13" s="202">
        <f t="shared" si="0"/>
        <v>118</v>
      </c>
      <c r="G13" s="211" t="s">
        <v>145</v>
      </c>
    </row>
    <row r="14" spans="1:35" s="3" customFormat="1" ht="13" x14ac:dyDescent="0.3">
      <c r="A14" s="210">
        <v>44694</v>
      </c>
      <c r="B14" s="56" t="s">
        <v>420</v>
      </c>
      <c r="C14" s="205"/>
      <c r="D14" s="200">
        <v>20</v>
      </c>
      <c r="E14" s="204"/>
      <c r="F14" s="202">
        <f t="shared" si="0"/>
        <v>20</v>
      </c>
      <c r="G14" s="211" t="s">
        <v>145</v>
      </c>
    </row>
    <row r="15" spans="1:35" ht="13" x14ac:dyDescent="0.3">
      <c r="A15" s="210">
        <v>44694</v>
      </c>
      <c r="B15" s="56" t="s">
        <v>421</v>
      </c>
      <c r="C15" s="205"/>
      <c r="D15" s="204"/>
      <c r="E15" s="204">
        <v>25.5</v>
      </c>
      <c r="F15" s="202">
        <f t="shared" ref="F15:F23" si="1">SUM(C15:E15)</f>
        <v>25.5</v>
      </c>
      <c r="G15" s="211" t="s">
        <v>145</v>
      </c>
    </row>
    <row r="16" spans="1:35" ht="13" x14ac:dyDescent="0.3">
      <c r="A16" s="210">
        <v>44694</v>
      </c>
      <c r="B16" s="56" t="s">
        <v>422</v>
      </c>
      <c r="C16" s="205"/>
      <c r="D16" s="204">
        <v>99</v>
      </c>
      <c r="E16" s="204"/>
      <c r="F16" s="202">
        <f t="shared" si="1"/>
        <v>99</v>
      </c>
      <c r="G16" s="211" t="s">
        <v>145</v>
      </c>
    </row>
    <row r="17" spans="1:35" ht="13" x14ac:dyDescent="0.3">
      <c r="A17" s="210">
        <v>44702</v>
      </c>
      <c r="B17" s="56" t="s">
        <v>432</v>
      </c>
      <c r="C17" s="205"/>
      <c r="D17" s="204"/>
      <c r="E17" s="204">
        <v>5</v>
      </c>
      <c r="F17" s="202">
        <f t="shared" si="1"/>
        <v>5</v>
      </c>
      <c r="G17" s="211" t="s">
        <v>145</v>
      </c>
    </row>
    <row r="18" spans="1:35" ht="13" x14ac:dyDescent="0.3">
      <c r="A18" s="210">
        <v>44702</v>
      </c>
      <c r="B18" s="56" t="s">
        <v>433</v>
      </c>
      <c r="C18" s="205"/>
      <c r="D18" s="204">
        <v>68</v>
      </c>
      <c r="E18" s="205"/>
      <c r="F18" s="202">
        <f t="shared" si="1"/>
        <v>68</v>
      </c>
      <c r="G18" s="211" t="s">
        <v>145</v>
      </c>
    </row>
    <row r="19" spans="1:35" s="162" customFormat="1" ht="13" x14ac:dyDescent="0.3">
      <c r="A19" s="210">
        <v>44702</v>
      </c>
      <c r="B19" s="56" t="s">
        <v>434</v>
      </c>
      <c r="C19" s="205"/>
      <c r="D19" s="200">
        <v>37.5</v>
      </c>
      <c r="E19" s="204"/>
      <c r="F19" s="202">
        <f t="shared" si="1"/>
        <v>37.5</v>
      </c>
      <c r="G19" s="211" t="s">
        <v>145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3" customFormat="1" ht="13" x14ac:dyDescent="0.3">
      <c r="A20" s="210">
        <v>44702</v>
      </c>
      <c r="B20" s="56" t="s">
        <v>435</v>
      </c>
      <c r="C20" s="205"/>
      <c r="D20" s="200"/>
      <c r="E20" s="204">
        <v>38</v>
      </c>
      <c r="F20" s="202">
        <f t="shared" si="1"/>
        <v>38</v>
      </c>
      <c r="G20" s="211" t="s">
        <v>145</v>
      </c>
    </row>
    <row r="21" spans="1:35" s="3" customFormat="1" ht="13" x14ac:dyDescent="0.3">
      <c r="A21" s="210">
        <v>44705</v>
      </c>
      <c r="B21" s="56" t="s">
        <v>437</v>
      </c>
      <c r="C21" s="205"/>
      <c r="D21" s="200">
        <v>46</v>
      </c>
      <c r="E21" s="204"/>
      <c r="F21" s="202">
        <f t="shared" si="1"/>
        <v>46</v>
      </c>
      <c r="G21" s="211" t="s">
        <v>145</v>
      </c>
    </row>
    <row r="22" spans="1:35" s="3" customFormat="1" ht="13" x14ac:dyDescent="0.3">
      <c r="A22" s="210">
        <v>44705</v>
      </c>
      <c r="B22" s="56" t="s">
        <v>438</v>
      </c>
      <c r="C22" s="205"/>
      <c r="D22" s="200"/>
      <c r="E22" s="204">
        <v>48</v>
      </c>
      <c r="F22" s="202">
        <f t="shared" si="1"/>
        <v>48</v>
      </c>
      <c r="G22" s="211" t="s">
        <v>145</v>
      </c>
    </row>
    <row r="23" spans="1:35" s="3" customFormat="1" ht="13" x14ac:dyDescent="0.3">
      <c r="A23" s="210">
        <v>44705</v>
      </c>
      <c r="B23" s="56" t="s">
        <v>439</v>
      </c>
      <c r="C23" s="205"/>
      <c r="D23" s="200">
        <v>37.5</v>
      </c>
      <c r="E23" s="204"/>
      <c r="F23" s="202">
        <f t="shared" si="1"/>
        <v>37.5</v>
      </c>
      <c r="G23" s="211" t="s">
        <v>145</v>
      </c>
    </row>
    <row r="24" spans="1:35" s="3" customFormat="1" ht="13" x14ac:dyDescent="0.3">
      <c r="A24" s="210">
        <v>44705</v>
      </c>
      <c r="B24" s="56" t="s">
        <v>440</v>
      </c>
      <c r="C24" s="205"/>
      <c r="D24" s="200"/>
      <c r="E24" s="204">
        <v>19</v>
      </c>
      <c r="F24" s="202">
        <f t="shared" si="0"/>
        <v>19</v>
      </c>
      <c r="G24" s="211" t="s">
        <v>145</v>
      </c>
    </row>
    <row r="25" spans="1:35" s="3" customFormat="1" ht="13" x14ac:dyDescent="0.3">
      <c r="A25" s="210">
        <v>44705</v>
      </c>
      <c r="B25" s="56" t="s">
        <v>440</v>
      </c>
      <c r="C25" s="205"/>
      <c r="D25" s="200"/>
      <c r="E25" s="204">
        <v>3.2</v>
      </c>
      <c r="F25" s="202">
        <f t="shared" si="0"/>
        <v>3.2</v>
      </c>
      <c r="G25" s="211" t="s">
        <v>145</v>
      </c>
      <c r="I25" s="381"/>
    </row>
    <row r="26" spans="1:35" s="3" customFormat="1" ht="13" x14ac:dyDescent="0.3">
      <c r="A26" s="210">
        <v>44705</v>
      </c>
      <c r="B26" s="56" t="s">
        <v>441</v>
      </c>
      <c r="C26" s="205"/>
      <c r="D26" s="200"/>
      <c r="E26" s="204">
        <v>38</v>
      </c>
      <c r="F26" s="202">
        <f t="shared" ref="F26:F28" si="2">SUM(C26:E26)</f>
        <v>38</v>
      </c>
      <c r="G26" s="211" t="s">
        <v>145</v>
      </c>
    </row>
    <row r="27" spans="1:35" s="3" customFormat="1" ht="13" x14ac:dyDescent="0.3">
      <c r="A27" s="210">
        <v>44705</v>
      </c>
      <c r="B27" s="56" t="s">
        <v>445</v>
      </c>
      <c r="C27" s="205"/>
      <c r="D27" s="200"/>
      <c r="E27" s="204">
        <v>48</v>
      </c>
      <c r="F27" s="202">
        <f t="shared" si="2"/>
        <v>48</v>
      </c>
      <c r="G27" s="211" t="s">
        <v>145</v>
      </c>
    </row>
    <row r="28" spans="1:35" s="3" customFormat="1" ht="13" x14ac:dyDescent="0.3">
      <c r="A28" s="210">
        <v>44711</v>
      </c>
      <c r="B28" s="56" t="s">
        <v>446</v>
      </c>
      <c r="C28" s="205"/>
      <c r="D28" s="200">
        <v>67.5</v>
      </c>
      <c r="E28" s="204"/>
      <c r="F28" s="202">
        <f t="shared" si="2"/>
        <v>67.5</v>
      </c>
      <c r="G28" s="211" t="s">
        <v>145</v>
      </c>
    </row>
    <row r="29" spans="1:35" s="3" customFormat="1" ht="13" x14ac:dyDescent="0.3">
      <c r="A29" s="210">
        <v>44711</v>
      </c>
      <c r="B29" s="56" t="s">
        <v>448</v>
      </c>
      <c r="C29" s="205"/>
      <c r="D29" s="200"/>
      <c r="E29" s="204">
        <v>44</v>
      </c>
      <c r="F29" s="202">
        <f t="shared" ref="F29:F30" si="3">SUM(C29:E29)</f>
        <v>44</v>
      </c>
      <c r="G29" s="211" t="s">
        <v>145</v>
      </c>
    </row>
    <row r="30" spans="1:35" s="3" customFormat="1" ht="13" x14ac:dyDescent="0.3">
      <c r="A30" s="210">
        <v>44711</v>
      </c>
      <c r="B30" s="56" t="s">
        <v>447</v>
      </c>
      <c r="C30" s="205"/>
      <c r="D30" s="200"/>
      <c r="E30" s="204">
        <v>176</v>
      </c>
      <c r="F30" s="202">
        <f t="shared" si="3"/>
        <v>176</v>
      </c>
      <c r="G30" s="211" t="s">
        <v>145</v>
      </c>
    </row>
    <row r="31" spans="1:35" s="3" customFormat="1" ht="13" thickBot="1" x14ac:dyDescent="0.3">
      <c r="A31" s="212"/>
      <c r="B31" s="213" t="s">
        <v>0</v>
      </c>
      <c r="C31" s="214">
        <f>SUM(C2:C30)</f>
        <v>190.2</v>
      </c>
      <c r="D31" s="214">
        <f>SUM(D2:D30)</f>
        <v>637.5</v>
      </c>
      <c r="E31" s="214">
        <f>SUM(E2:E30)</f>
        <v>850.7</v>
      </c>
      <c r="F31" s="215">
        <f>SUM(C31:E31)</f>
        <v>1678.4</v>
      </c>
      <c r="G31" s="216"/>
    </row>
    <row r="32" spans="1:35" s="3" customFormat="1" ht="11" thickTop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  <row r="1133" spans="4:5" s="3" customFormat="1" x14ac:dyDescent="0.25">
      <c r="D1133" s="1"/>
      <c r="E1133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I1132"/>
  <sheetViews>
    <sheetView showGridLines="0" workbookViewId="0">
      <selection activeCell="A22" sqref="A22:XFD22"/>
    </sheetView>
  </sheetViews>
  <sheetFormatPr baseColWidth="10" defaultColWidth="10.81640625" defaultRowHeight="10.5" x14ac:dyDescent="0.25"/>
  <cols>
    <col min="1" max="1" width="10.81640625" style="58"/>
    <col min="2" max="2" width="29.5429687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7" ht="13" thickTop="1" x14ac:dyDescent="0.25">
      <c r="A1" s="206" t="s">
        <v>55</v>
      </c>
      <c r="B1" s="208"/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7" ht="12.5" x14ac:dyDescent="0.25">
      <c r="A2" s="210">
        <v>44683</v>
      </c>
      <c r="B2" s="56" t="s">
        <v>194</v>
      </c>
      <c r="C2" s="199">
        <v>50</v>
      </c>
      <c r="D2" s="200"/>
      <c r="E2" s="201"/>
      <c r="F2" s="202">
        <f t="shared" ref="F2:F21" si="0">SUM(C2:E2)</f>
        <v>50</v>
      </c>
      <c r="G2" s="217" t="s">
        <v>145</v>
      </c>
    </row>
    <row r="3" spans="1:7" ht="12.5" x14ac:dyDescent="0.25">
      <c r="A3" s="210">
        <v>44683</v>
      </c>
      <c r="B3" s="56" t="s">
        <v>399</v>
      </c>
      <c r="C3" s="199">
        <v>100</v>
      </c>
      <c r="D3" s="200"/>
      <c r="E3" s="203"/>
      <c r="F3" s="202">
        <f t="shared" si="0"/>
        <v>100</v>
      </c>
      <c r="G3" s="217" t="s">
        <v>145</v>
      </c>
    </row>
    <row r="4" spans="1:7" ht="12.5" x14ac:dyDescent="0.25">
      <c r="A4" s="210">
        <v>44683</v>
      </c>
      <c r="B4" s="56" t="s">
        <v>196</v>
      </c>
      <c r="C4" s="199">
        <v>75</v>
      </c>
      <c r="D4" s="200"/>
      <c r="E4" s="203"/>
      <c r="F4" s="204">
        <f t="shared" si="0"/>
        <v>75</v>
      </c>
      <c r="G4" s="217" t="s">
        <v>145</v>
      </c>
    </row>
    <row r="5" spans="1:7" ht="12.5" x14ac:dyDescent="0.25">
      <c r="A5" s="210">
        <v>44686</v>
      </c>
      <c r="B5" s="56" t="s">
        <v>341</v>
      </c>
      <c r="C5" s="199">
        <v>100</v>
      </c>
      <c r="D5" s="200"/>
      <c r="E5" s="203"/>
      <c r="F5" s="204">
        <f t="shared" si="0"/>
        <v>100</v>
      </c>
      <c r="G5" s="217" t="s">
        <v>145</v>
      </c>
    </row>
    <row r="6" spans="1:7" ht="12.5" x14ac:dyDescent="0.25">
      <c r="A6" s="210">
        <v>44687</v>
      </c>
      <c r="B6" s="56" t="s">
        <v>409</v>
      </c>
      <c r="C6" s="199">
        <v>75</v>
      </c>
      <c r="D6" s="200"/>
      <c r="E6" s="203"/>
      <c r="F6" s="204">
        <f t="shared" si="0"/>
        <v>75</v>
      </c>
      <c r="G6" s="217" t="s">
        <v>145</v>
      </c>
    </row>
    <row r="7" spans="1:7" ht="12.5" x14ac:dyDescent="0.25">
      <c r="A7" s="210">
        <v>44687</v>
      </c>
      <c r="B7" s="56" t="s">
        <v>306</v>
      </c>
      <c r="C7" s="199">
        <v>122.62</v>
      </c>
      <c r="D7" s="200"/>
      <c r="E7" s="203"/>
      <c r="F7" s="204">
        <f t="shared" si="0"/>
        <v>122.62</v>
      </c>
      <c r="G7" s="217" t="s">
        <v>145</v>
      </c>
    </row>
    <row r="8" spans="1:7" ht="12.5" x14ac:dyDescent="0.25">
      <c r="A8" s="210">
        <v>44688</v>
      </c>
      <c r="B8" s="56" t="s">
        <v>298</v>
      </c>
      <c r="C8" s="199">
        <v>40</v>
      </c>
      <c r="D8" s="200"/>
      <c r="E8" s="203"/>
      <c r="F8" s="204">
        <f t="shared" si="0"/>
        <v>40</v>
      </c>
      <c r="G8" s="217" t="s">
        <v>145</v>
      </c>
    </row>
    <row r="9" spans="1:7" ht="12.5" x14ac:dyDescent="0.25">
      <c r="A9" s="210">
        <v>44692</v>
      </c>
      <c r="B9" s="56" t="s">
        <v>410</v>
      </c>
      <c r="C9" s="199">
        <v>40</v>
      </c>
      <c r="D9" s="200"/>
      <c r="E9" s="203"/>
      <c r="F9" s="204">
        <f t="shared" si="0"/>
        <v>40</v>
      </c>
      <c r="G9" s="217" t="s">
        <v>145</v>
      </c>
    </row>
    <row r="10" spans="1:7" ht="12.5" x14ac:dyDescent="0.25">
      <c r="A10" s="210">
        <v>44694</v>
      </c>
      <c r="B10" s="56" t="s">
        <v>232</v>
      </c>
      <c r="C10" s="199">
        <v>45</v>
      </c>
      <c r="D10" s="200"/>
      <c r="E10" s="203"/>
      <c r="F10" s="204">
        <f t="shared" si="0"/>
        <v>45</v>
      </c>
      <c r="G10" s="217" t="s">
        <v>145</v>
      </c>
    </row>
    <row r="11" spans="1:7" ht="12.5" x14ac:dyDescent="0.25">
      <c r="A11" s="210">
        <v>44694</v>
      </c>
      <c r="B11" s="56" t="s">
        <v>424</v>
      </c>
      <c r="C11" s="199">
        <v>40</v>
      </c>
      <c r="D11" s="200"/>
      <c r="E11" s="203"/>
      <c r="F11" s="204">
        <f t="shared" si="0"/>
        <v>40</v>
      </c>
      <c r="G11" s="217" t="s">
        <v>145</v>
      </c>
    </row>
    <row r="12" spans="1:7" ht="12.5" x14ac:dyDescent="0.25">
      <c r="A12" s="210">
        <v>44702</v>
      </c>
      <c r="B12" s="56" t="s">
        <v>426</v>
      </c>
      <c r="C12" s="199"/>
      <c r="D12" s="200">
        <v>50</v>
      </c>
      <c r="E12" s="203"/>
      <c r="F12" s="204">
        <f t="shared" ref="F12:F18" si="1">SUM(C12:E12)</f>
        <v>50</v>
      </c>
      <c r="G12" s="217" t="s">
        <v>145</v>
      </c>
    </row>
    <row r="13" spans="1:7" ht="12.5" x14ac:dyDescent="0.25">
      <c r="A13" s="210">
        <v>44702</v>
      </c>
      <c r="B13" s="56" t="s">
        <v>430</v>
      </c>
      <c r="C13" s="199"/>
      <c r="D13" s="200">
        <v>30</v>
      </c>
      <c r="E13" s="203"/>
      <c r="F13" s="204">
        <f t="shared" si="1"/>
        <v>30</v>
      </c>
      <c r="G13" s="217" t="s">
        <v>145</v>
      </c>
    </row>
    <row r="14" spans="1:7" ht="12.5" x14ac:dyDescent="0.25">
      <c r="A14" s="210">
        <v>44702</v>
      </c>
      <c r="B14" s="56" t="s">
        <v>427</v>
      </c>
      <c r="C14" s="199"/>
      <c r="D14" s="200">
        <v>50</v>
      </c>
      <c r="E14" s="203"/>
      <c r="F14" s="204">
        <f t="shared" si="1"/>
        <v>50</v>
      </c>
      <c r="G14" s="217" t="s">
        <v>145</v>
      </c>
    </row>
    <row r="15" spans="1:7" ht="12.5" x14ac:dyDescent="0.25">
      <c r="A15" s="210">
        <v>44704</v>
      </c>
      <c r="B15" s="56" t="s">
        <v>194</v>
      </c>
      <c r="C15" s="199">
        <v>50</v>
      </c>
      <c r="D15" s="200"/>
      <c r="E15" s="203"/>
      <c r="F15" s="204">
        <f t="shared" si="1"/>
        <v>50</v>
      </c>
      <c r="G15" s="217" t="s">
        <v>145</v>
      </c>
    </row>
    <row r="16" spans="1:7" ht="12.5" x14ac:dyDescent="0.25">
      <c r="A16" s="210">
        <v>44704</v>
      </c>
      <c r="B16" s="56" t="s">
        <v>436</v>
      </c>
      <c r="C16" s="199">
        <v>100.02</v>
      </c>
      <c r="D16" s="200"/>
      <c r="E16" s="203"/>
      <c r="F16" s="204">
        <f t="shared" si="1"/>
        <v>100.02</v>
      </c>
      <c r="G16" s="217" t="s">
        <v>145</v>
      </c>
    </row>
    <row r="17" spans="1:35" ht="12.5" x14ac:dyDescent="0.25">
      <c r="A17" s="210">
        <v>44705</v>
      </c>
      <c r="B17" s="56" t="s">
        <v>231</v>
      </c>
      <c r="C17" s="199"/>
      <c r="D17" s="200">
        <v>60</v>
      </c>
      <c r="E17" s="203"/>
      <c r="F17" s="204">
        <f t="shared" si="1"/>
        <v>60</v>
      </c>
      <c r="G17" s="217" t="s">
        <v>145</v>
      </c>
    </row>
    <row r="18" spans="1:35" ht="12.5" x14ac:dyDescent="0.25">
      <c r="A18" s="210">
        <v>44708</v>
      </c>
      <c r="B18" s="56" t="s">
        <v>142</v>
      </c>
      <c r="C18" s="199">
        <v>23</v>
      </c>
      <c r="D18" s="200"/>
      <c r="E18" s="203"/>
      <c r="F18" s="204">
        <f t="shared" si="1"/>
        <v>23</v>
      </c>
      <c r="G18" s="217" t="s">
        <v>145</v>
      </c>
    </row>
    <row r="19" spans="1:35" ht="12.5" x14ac:dyDescent="0.25">
      <c r="A19" s="210">
        <v>44711</v>
      </c>
      <c r="B19" s="56" t="s">
        <v>449</v>
      </c>
      <c r="C19" s="199">
        <v>700</v>
      </c>
      <c r="D19" s="200"/>
      <c r="E19" s="203"/>
      <c r="F19" s="204">
        <f t="shared" si="0"/>
        <v>700</v>
      </c>
      <c r="G19" s="217" t="s">
        <v>145</v>
      </c>
    </row>
    <row r="20" spans="1:35" ht="12.5" x14ac:dyDescent="0.25">
      <c r="A20" s="210">
        <v>44711</v>
      </c>
      <c r="B20" s="56" t="s">
        <v>296</v>
      </c>
      <c r="C20" s="199"/>
      <c r="D20" s="200">
        <v>100</v>
      </c>
      <c r="E20" s="203"/>
      <c r="F20" s="204">
        <f t="shared" si="0"/>
        <v>100</v>
      </c>
      <c r="G20" s="217" t="s">
        <v>145</v>
      </c>
    </row>
    <row r="21" spans="1:35" ht="12.5" x14ac:dyDescent="0.25">
      <c r="A21" s="210">
        <v>44712</v>
      </c>
      <c r="B21" s="56" t="s">
        <v>449</v>
      </c>
      <c r="C21" s="199">
        <v>300</v>
      </c>
      <c r="D21" s="200"/>
      <c r="E21" s="203"/>
      <c r="F21" s="204">
        <f t="shared" si="0"/>
        <v>300</v>
      </c>
      <c r="G21" s="217" t="s">
        <v>145</v>
      </c>
    </row>
    <row r="22" spans="1:35" s="162" customFormat="1" ht="13" thickBot="1" x14ac:dyDescent="0.3">
      <c r="A22" s="212"/>
      <c r="B22" s="213" t="s">
        <v>0</v>
      </c>
      <c r="C22" s="214">
        <f>SUM(C2:C19)</f>
        <v>1560.6399999999999</v>
      </c>
      <c r="D22" s="214">
        <f>SUM(D2:D19)</f>
        <v>190</v>
      </c>
      <c r="E22" s="214">
        <f>SUM(E2:E19)</f>
        <v>0</v>
      </c>
      <c r="F22" s="215">
        <f>SUM(F2:F21)</f>
        <v>2150.64</v>
      </c>
      <c r="G22" s="2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s="3" customFormat="1" ht="11" thickTop="1" x14ac:dyDescent="0.25">
      <c r="D23" s="1"/>
      <c r="E23" s="1"/>
    </row>
    <row r="24" spans="1:35" s="3" customFormat="1" x14ac:dyDescent="0.25">
      <c r="D24" s="1"/>
      <c r="E24" s="1"/>
    </row>
    <row r="25" spans="1:35" s="3" customFormat="1" x14ac:dyDescent="0.25">
      <c r="D25" s="1"/>
      <c r="E25" s="1"/>
    </row>
    <row r="26" spans="1:35" s="3" customFormat="1" x14ac:dyDescent="0.25">
      <c r="D26" s="1"/>
      <c r="E26" s="1"/>
    </row>
    <row r="27" spans="1:35" s="3" customFormat="1" x14ac:dyDescent="0.25">
      <c r="D27" s="1"/>
      <c r="E27" s="1"/>
    </row>
    <row r="28" spans="1:35" s="3" customFormat="1" x14ac:dyDescent="0.25">
      <c r="D28" s="1"/>
      <c r="E28" s="1"/>
    </row>
    <row r="29" spans="1:35" s="3" customFormat="1" x14ac:dyDescent="0.25">
      <c r="D29" s="1"/>
      <c r="E29" s="1"/>
    </row>
    <row r="30" spans="1:35" s="3" customFormat="1" x14ac:dyDescent="0.25">
      <c r="D30" s="1"/>
      <c r="E30" s="1"/>
    </row>
    <row r="31" spans="1:35" s="3" customFormat="1" x14ac:dyDescent="0.25">
      <c r="D31" s="1"/>
      <c r="E31" s="1"/>
    </row>
    <row r="32" spans="1:3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K81"/>
  <sheetViews>
    <sheetView showGridLines="0" topLeftCell="A14" zoomScaleNormal="100" workbookViewId="0">
      <selection activeCell="V66" sqref="V66"/>
    </sheetView>
  </sheetViews>
  <sheetFormatPr baseColWidth="10" defaultRowHeight="12.5" x14ac:dyDescent="0.25"/>
  <cols>
    <col min="1" max="1" width="9.81640625" customWidth="1"/>
    <col min="2" max="2" width="31.5429687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70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f>' 04 2022'!D76</f>
        <v>10569.990000000003</v>
      </c>
      <c r="E5" s="179"/>
      <c r="F5" s="180">
        <f>' 04 2022'!F76</f>
        <v>62.950000000000045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10632.940000000004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170" customFormat="1" ht="12" customHeight="1" x14ac:dyDescent="0.25">
      <c r="A6" s="271">
        <v>44683</v>
      </c>
      <c r="B6" s="222" t="s">
        <v>194</v>
      </c>
      <c r="C6" s="272" t="s">
        <v>145</v>
      </c>
      <c r="D6" s="283">
        <v>50</v>
      </c>
      <c r="E6" s="223"/>
      <c r="F6" s="224"/>
      <c r="G6" s="284"/>
      <c r="H6" s="302"/>
      <c r="I6" s="225">
        <v>50</v>
      </c>
      <c r="J6" s="225"/>
      <c r="K6" s="226"/>
      <c r="L6" s="225"/>
      <c r="M6" s="225"/>
      <c r="N6" s="225"/>
      <c r="O6" s="303"/>
      <c r="P6" s="316"/>
      <c r="Q6" s="227"/>
      <c r="R6" s="227"/>
      <c r="S6" s="227"/>
      <c r="T6" s="227"/>
      <c r="U6" s="228"/>
      <c r="V6" s="227"/>
      <c r="W6" s="229"/>
      <c r="X6" s="227"/>
      <c r="Y6" s="227"/>
      <c r="Z6" s="227"/>
      <c r="AA6" s="317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170" customFormat="1" ht="12" customHeight="1" x14ac:dyDescent="0.25">
      <c r="A7" s="273">
        <v>44683</v>
      </c>
      <c r="B7" s="231" t="s">
        <v>399</v>
      </c>
      <c r="C7" s="274" t="s">
        <v>145</v>
      </c>
      <c r="D7" s="285">
        <v>100</v>
      </c>
      <c r="E7" s="218"/>
      <c r="F7" s="219"/>
      <c r="G7" s="286"/>
      <c r="H7" s="304"/>
      <c r="I7" s="185">
        <v>100</v>
      </c>
      <c r="J7" s="185"/>
      <c r="K7" s="186"/>
      <c r="L7" s="185"/>
      <c r="M7" s="185"/>
      <c r="N7" s="185"/>
      <c r="O7" s="305"/>
      <c r="P7" s="318"/>
      <c r="Q7" s="191"/>
      <c r="R7" s="191"/>
      <c r="S7" s="191"/>
      <c r="T7" s="191"/>
      <c r="U7" s="232"/>
      <c r="V7" s="191"/>
      <c r="W7" s="192"/>
      <c r="X7" s="191"/>
      <c r="Y7" s="191"/>
      <c r="Z7" s="191"/>
      <c r="AA7" s="319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170" customFormat="1" ht="12" customHeight="1" x14ac:dyDescent="0.25">
      <c r="A8" s="273">
        <v>44685</v>
      </c>
      <c r="B8" s="231" t="s">
        <v>138</v>
      </c>
      <c r="C8" s="274" t="s">
        <v>145</v>
      </c>
      <c r="D8" s="285"/>
      <c r="E8" s="218">
        <v>10.44</v>
      </c>
      <c r="F8" s="219"/>
      <c r="G8" s="286"/>
      <c r="H8" s="304"/>
      <c r="I8" s="185"/>
      <c r="J8" s="185"/>
      <c r="K8" s="186"/>
      <c r="L8" s="185"/>
      <c r="M8" s="185"/>
      <c r="N8" s="185"/>
      <c r="O8" s="305"/>
      <c r="P8" s="318"/>
      <c r="Q8" s="191"/>
      <c r="R8" s="191"/>
      <c r="S8" s="191"/>
      <c r="T8" s="191"/>
      <c r="U8" s="232"/>
      <c r="V8" s="191"/>
      <c r="W8" s="192">
        <v>10.44</v>
      </c>
      <c r="X8" s="191"/>
      <c r="Y8" s="191"/>
      <c r="Z8" s="191"/>
      <c r="AA8" s="319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170" customFormat="1" ht="12" customHeight="1" x14ac:dyDescent="0.25">
      <c r="A9" s="273">
        <v>44683</v>
      </c>
      <c r="B9" s="231" t="s">
        <v>196</v>
      </c>
      <c r="C9" s="274" t="s">
        <v>145</v>
      </c>
      <c r="D9" s="285">
        <v>75</v>
      </c>
      <c r="E9" s="218"/>
      <c r="F9" s="219"/>
      <c r="G9" s="286"/>
      <c r="H9" s="304"/>
      <c r="I9" s="185">
        <v>75</v>
      </c>
      <c r="J9" s="185"/>
      <c r="K9" s="186"/>
      <c r="L9" s="185"/>
      <c r="M9" s="185"/>
      <c r="N9" s="185"/>
      <c r="O9" s="305"/>
      <c r="P9" s="318"/>
      <c r="Q9" s="191"/>
      <c r="R9" s="191"/>
      <c r="S9" s="191"/>
      <c r="T9" s="191"/>
      <c r="U9" s="232"/>
      <c r="V9" s="191"/>
      <c r="W9" s="192"/>
      <c r="X9" s="191"/>
      <c r="Y9" s="191"/>
      <c r="Z9" s="191"/>
      <c r="AA9" s="319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170" customFormat="1" ht="12" customHeight="1" x14ac:dyDescent="0.25">
      <c r="A10" s="273">
        <v>44685</v>
      </c>
      <c r="B10" s="231" t="s">
        <v>452</v>
      </c>
      <c r="C10" s="274" t="s">
        <v>145</v>
      </c>
      <c r="D10" s="285"/>
      <c r="E10" s="218"/>
      <c r="F10" s="219">
        <v>27.3</v>
      </c>
      <c r="G10" s="286"/>
      <c r="H10" s="304">
        <v>27.3</v>
      </c>
      <c r="I10" s="185"/>
      <c r="J10" s="185"/>
      <c r="K10" s="186"/>
      <c r="L10" s="185"/>
      <c r="M10" s="185"/>
      <c r="N10" s="185"/>
      <c r="O10" s="305"/>
      <c r="P10" s="318"/>
      <c r="Q10" s="191"/>
      <c r="R10" s="191"/>
      <c r="S10" s="191"/>
      <c r="T10" s="191"/>
      <c r="U10" s="232"/>
      <c r="V10" s="191"/>
      <c r="W10" s="192"/>
      <c r="X10" s="191"/>
      <c r="Y10" s="191"/>
      <c r="Z10" s="191"/>
      <c r="AA10" s="319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170" customFormat="1" ht="12" customHeight="1" x14ac:dyDescent="0.25">
      <c r="A11" s="273">
        <v>44686</v>
      </c>
      <c r="B11" s="231" t="s">
        <v>146</v>
      </c>
      <c r="C11" s="274" t="s">
        <v>145</v>
      </c>
      <c r="D11" s="285"/>
      <c r="E11" s="218">
        <v>29.99</v>
      </c>
      <c r="F11" s="219"/>
      <c r="G11" s="286"/>
      <c r="H11" s="304"/>
      <c r="I11" s="185"/>
      <c r="J11" s="185"/>
      <c r="K11" s="186"/>
      <c r="L11" s="185"/>
      <c r="M11" s="185"/>
      <c r="N11" s="185"/>
      <c r="O11" s="305"/>
      <c r="P11" s="318"/>
      <c r="Q11" s="191"/>
      <c r="R11" s="191"/>
      <c r="S11" s="191"/>
      <c r="T11" s="191"/>
      <c r="U11" s="232"/>
      <c r="V11" s="191">
        <v>29.99</v>
      </c>
      <c r="W11" s="192"/>
      <c r="X11" s="191"/>
      <c r="Y11" s="191"/>
      <c r="Z11" s="191"/>
      <c r="AA11" s="319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170" customFormat="1" ht="12" customHeight="1" x14ac:dyDescent="0.25">
      <c r="A12" s="273">
        <v>44686</v>
      </c>
      <c r="B12" s="231" t="s">
        <v>341</v>
      </c>
      <c r="C12" s="274" t="s">
        <v>145</v>
      </c>
      <c r="D12" s="285">
        <v>100</v>
      </c>
      <c r="E12" s="218"/>
      <c r="F12" s="219"/>
      <c r="G12" s="286"/>
      <c r="H12" s="304"/>
      <c r="I12" s="185">
        <v>100</v>
      </c>
      <c r="J12" s="185"/>
      <c r="K12" s="186"/>
      <c r="L12" s="185"/>
      <c r="M12" s="185"/>
      <c r="N12" s="185"/>
      <c r="O12" s="305"/>
      <c r="P12" s="318"/>
      <c r="Q12" s="191"/>
      <c r="R12" s="191"/>
      <c r="S12" s="191"/>
      <c r="T12" s="191"/>
      <c r="U12" s="232"/>
      <c r="V12" s="191"/>
      <c r="W12" s="192"/>
      <c r="X12" s="191"/>
      <c r="Y12" s="191"/>
      <c r="Z12" s="191"/>
      <c r="AA12" s="319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170" customFormat="1" ht="12" customHeight="1" x14ac:dyDescent="0.25">
      <c r="A13" s="273">
        <v>44687</v>
      </c>
      <c r="B13" s="231" t="s">
        <v>409</v>
      </c>
      <c r="C13" s="274" t="s">
        <v>145</v>
      </c>
      <c r="D13" s="285">
        <v>75</v>
      </c>
      <c r="E13" s="218"/>
      <c r="F13" s="219"/>
      <c r="G13" s="286"/>
      <c r="H13" s="304"/>
      <c r="I13" s="185">
        <v>75</v>
      </c>
      <c r="J13" s="185"/>
      <c r="K13" s="186"/>
      <c r="L13" s="185"/>
      <c r="M13" s="185"/>
      <c r="N13" s="185"/>
      <c r="O13" s="305"/>
      <c r="P13" s="318"/>
      <c r="Q13" s="191"/>
      <c r="R13" s="191"/>
      <c r="S13" s="191"/>
      <c r="T13" s="191"/>
      <c r="U13" s="232"/>
      <c r="V13" s="191"/>
      <c r="W13" s="192"/>
      <c r="X13" s="191"/>
      <c r="Y13" s="191"/>
      <c r="Z13" s="191"/>
      <c r="AA13" s="319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170" customFormat="1" ht="12" customHeight="1" x14ac:dyDescent="0.25">
      <c r="A14" s="273">
        <v>44687</v>
      </c>
      <c r="B14" s="231" t="s">
        <v>403</v>
      </c>
      <c r="C14" s="274" t="s">
        <v>145</v>
      </c>
      <c r="D14" s="285"/>
      <c r="E14" s="218"/>
      <c r="F14" s="219">
        <v>181</v>
      </c>
      <c r="G14" s="286"/>
      <c r="H14" s="304"/>
      <c r="I14" s="185"/>
      <c r="J14" s="185"/>
      <c r="K14" s="186">
        <v>181</v>
      </c>
      <c r="L14" s="185"/>
      <c r="M14" s="185"/>
      <c r="N14" s="185"/>
      <c r="O14" s="305"/>
      <c r="P14" s="318"/>
      <c r="Q14" s="191"/>
      <c r="R14" s="191"/>
      <c r="S14" s="191"/>
      <c r="T14" s="191"/>
      <c r="U14" s="232"/>
      <c r="V14" s="191"/>
      <c r="W14" s="192"/>
      <c r="X14" s="191"/>
      <c r="Y14" s="191"/>
      <c r="Z14" s="191"/>
      <c r="AA14" s="319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170" customFormat="1" ht="12" customHeight="1" x14ac:dyDescent="0.25">
      <c r="A15" s="273">
        <v>44687</v>
      </c>
      <c r="B15" s="231" t="s">
        <v>404</v>
      </c>
      <c r="C15" s="274" t="s">
        <v>145</v>
      </c>
      <c r="D15" s="285"/>
      <c r="E15" s="218"/>
      <c r="F15" s="219">
        <v>30</v>
      </c>
      <c r="G15" s="286"/>
      <c r="H15" s="304"/>
      <c r="I15" s="185"/>
      <c r="J15" s="185"/>
      <c r="K15" s="186">
        <v>30</v>
      </c>
      <c r="L15" s="185"/>
      <c r="M15" s="185"/>
      <c r="N15" s="185"/>
      <c r="O15" s="305"/>
      <c r="P15" s="318"/>
      <c r="Q15" s="191"/>
      <c r="R15" s="191"/>
      <c r="S15" s="191"/>
      <c r="T15" s="191"/>
      <c r="U15" s="232"/>
      <c r="V15" s="191"/>
      <c r="W15" s="192"/>
      <c r="X15" s="191"/>
      <c r="Y15" s="191"/>
      <c r="Z15" s="191"/>
      <c r="AA15" s="319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170" customFormat="1" ht="12" customHeight="1" x14ac:dyDescent="0.25">
      <c r="A16" s="273">
        <v>44687</v>
      </c>
      <c r="B16" s="231" t="s">
        <v>405</v>
      </c>
      <c r="C16" s="274" t="s">
        <v>145</v>
      </c>
      <c r="D16" s="285">
        <v>120</v>
      </c>
      <c r="E16" s="218"/>
      <c r="F16" s="219"/>
      <c r="G16" s="286"/>
      <c r="H16" s="304"/>
      <c r="I16" s="185"/>
      <c r="J16" s="185"/>
      <c r="K16" s="186">
        <v>120</v>
      </c>
      <c r="L16" s="185"/>
      <c r="M16" s="185"/>
      <c r="N16" s="185"/>
      <c r="O16" s="305"/>
      <c r="P16" s="318"/>
      <c r="Q16" s="191"/>
      <c r="R16" s="191"/>
      <c r="S16" s="191"/>
      <c r="T16" s="191"/>
      <c r="U16" s="232"/>
      <c r="V16" s="191"/>
      <c r="W16" s="192"/>
      <c r="X16" s="191"/>
      <c r="Y16" s="191"/>
      <c r="Z16" s="191"/>
      <c r="AA16" s="319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170" customFormat="1" ht="12" customHeight="1" x14ac:dyDescent="0.25">
      <c r="A17" s="273">
        <v>44687</v>
      </c>
      <c r="B17" s="231" t="s">
        <v>406</v>
      </c>
      <c r="C17" s="274" t="s">
        <v>145</v>
      </c>
      <c r="D17" s="285">
        <v>24</v>
      </c>
      <c r="E17" s="218"/>
      <c r="F17" s="219"/>
      <c r="G17" s="286"/>
      <c r="H17" s="304"/>
      <c r="I17" s="185"/>
      <c r="J17" s="185"/>
      <c r="K17" s="186">
        <v>24</v>
      </c>
      <c r="L17" s="185"/>
      <c r="M17" s="185"/>
      <c r="N17" s="185"/>
      <c r="O17" s="305"/>
      <c r="P17" s="318"/>
      <c r="Q17" s="191"/>
      <c r="R17" s="191"/>
      <c r="S17" s="191"/>
      <c r="T17" s="191"/>
      <c r="U17" s="232"/>
      <c r="V17" s="191"/>
      <c r="W17" s="192"/>
      <c r="X17" s="191"/>
      <c r="Y17" s="191"/>
      <c r="Z17" s="191"/>
      <c r="AA17" s="319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170" customFormat="1" ht="12" customHeight="1" x14ac:dyDescent="0.25">
      <c r="A18" s="273">
        <v>44687</v>
      </c>
      <c r="B18" s="231" t="s">
        <v>407</v>
      </c>
      <c r="C18" s="274" t="s">
        <v>145</v>
      </c>
      <c r="D18" s="285"/>
      <c r="E18" s="218"/>
      <c r="F18" s="219">
        <v>35</v>
      </c>
      <c r="G18" s="286"/>
      <c r="H18" s="304"/>
      <c r="I18" s="185"/>
      <c r="J18" s="185"/>
      <c r="K18" s="186">
        <v>35</v>
      </c>
      <c r="L18" s="185"/>
      <c r="M18" s="185"/>
      <c r="N18" s="185"/>
      <c r="O18" s="305"/>
      <c r="P18" s="318"/>
      <c r="Q18" s="191"/>
      <c r="R18" s="191"/>
      <c r="S18" s="191"/>
      <c r="T18" s="191"/>
      <c r="U18" s="232"/>
      <c r="V18" s="191"/>
      <c r="W18" s="192"/>
      <c r="X18" s="191"/>
      <c r="Y18" s="191"/>
      <c r="Z18" s="191"/>
      <c r="AA18" s="319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170" customFormat="1" ht="12" customHeight="1" x14ac:dyDescent="0.25">
      <c r="A19" s="273">
        <v>44687</v>
      </c>
      <c r="B19" s="231" t="s">
        <v>408</v>
      </c>
      <c r="C19" s="274" t="s">
        <v>145</v>
      </c>
      <c r="D19" s="285"/>
      <c r="E19" s="218"/>
      <c r="F19" s="219">
        <v>63</v>
      </c>
      <c r="G19" s="286"/>
      <c r="H19" s="304"/>
      <c r="I19" s="185"/>
      <c r="J19" s="185"/>
      <c r="K19" s="186">
        <v>63</v>
      </c>
      <c r="L19" s="185"/>
      <c r="M19" s="185"/>
      <c r="N19" s="185"/>
      <c r="O19" s="305"/>
      <c r="P19" s="318"/>
      <c r="Q19" s="191"/>
      <c r="R19" s="191"/>
      <c r="S19" s="191"/>
      <c r="T19" s="191"/>
      <c r="U19" s="232"/>
      <c r="V19" s="191"/>
      <c r="W19" s="192"/>
      <c r="X19" s="191"/>
      <c r="Y19" s="191"/>
      <c r="Z19" s="191"/>
      <c r="AA19" s="319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170" customFormat="1" ht="12" customHeight="1" x14ac:dyDescent="0.25">
      <c r="A20" s="273">
        <v>44687</v>
      </c>
      <c r="B20" s="231" t="s">
        <v>306</v>
      </c>
      <c r="C20" s="274" t="s">
        <v>145</v>
      </c>
      <c r="D20" s="285">
        <v>122.62</v>
      </c>
      <c r="E20" s="218"/>
      <c r="F20" s="219"/>
      <c r="G20" s="286"/>
      <c r="H20" s="304"/>
      <c r="I20" s="185">
        <v>122.62</v>
      </c>
      <c r="J20" s="185"/>
      <c r="K20" s="186"/>
      <c r="L20" s="185"/>
      <c r="M20" s="185"/>
      <c r="N20" s="185"/>
      <c r="O20" s="305"/>
      <c r="P20" s="318"/>
      <c r="Q20" s="191"/>
      <c r="R20" s="191"/>
      <c r="S20" s="191"/>
      <c r="T20" s="191"/>
      <c r="U20" s="232"/>
      <c r="V20" s="191"/>
      <c r="W20" s="192"/>
      <c r="X20" s="191"/>
      <c r="Y20" s="191"/>
      <c r="Z20" s="191"/>
      <c r="AA20" s="319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170" customFormat="1" ht="12" customHeight="1" x14ac:dyDescent="0.25">
      <c r="A21" s="273">
        <v>44688</v>
      </c>
      <c r="B21" s="231" t="s">
        <v>298</v>
      </c>
      <c r="C21" s="274" t="s">
        <v>145</v>
      </c>
      <c r="D21" s="285">
        <v>40</v>
      </c>
      <c r="E21" s="218"/>
      <c r="F21" s="219"/>
      <c r="G21" s="286"/>
      <c r="H21" s="304"/>
      <c r="I21" s="185">
        <v>40</v>
      </c>
      <c r="J21" s="185"/>
      <c r="K21" s="186"/>
      <c r="L21" s="185"/>
      <c r="M21" s="185"/>
      <c r="N21" s="185"/>
      <c r="O21" s="305"/>
      <c r="P21" s="318"/>
      <c r="Q21" s="191"/>
      <c r="R21" s="191"/>
      <c r="S21" s="191"/>
      <c r="T21" s="191"/>
      <c r="U21" s="232"/>
      <c r="V21" s="191"/>
      <c r="W21" s="192"/>
      <c r="X21" s="191"/>
      <c r="Y21" s="191"/>
      <c r="Z21" s="191"/>
      <c r="AA21" s="319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170" customFormat="1" ht="12" customHeight="1" x14ac:dyDescent="0.25">
      <c r="A22" s="273">
        <v>44692</v>
      </c>
      <c r="B22" s="231" t="s">
        <v>410</v>
      </c>
      <c r="C22" s="274" t="s">
        <v>145</v>
      </c>
      <c r="D22" s="285">
        <v>40</v>
      </c>
      <c r="E22" s="218"/>
      <c r="F22" s="219"/>
      <c r="G22" s="286"/>
      <c r="H22" s="304"/>
      <c r="I22" s="185">
        <v>40</v>
      </c>
      <c r="J22" s="185"/>
      <c r="K22" s="186"/>
      <c r="L22" s="185"/>
      <c r="M22" s="185"/>
      <c r="N22" s="185"/>
      <c r="O22" s="305"/>
      <c r="P22" s="318"/>
      <c r="Q22" s="191"/>
      <c r="R22" s="191"/>
      <c r="S22" s="191"/>
      <c r="T22" s="191"/>
      <c r="U22" s="232"/>
      <c r="V22" s="191"/>
      <c r="W22" s="192"/>
      <c r="X22" s="191"/>
      <c r="Y22" s="191"/>
      <c r="Z22" s="191"/>
      <c r="AA22" s="319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170" customFormat="1" ht="12" customHeight="1" x14ac:dyDescent="0.25">
      <c r="A23" s="273">
        <v>44694</v>
      </c>
      <c r="B23" s="231" t="s">
        <v>232</v>
      </c>
      <c r="C23" s="274" t="s">
        <v>145</v>
      </c>
      <c r="D23" s="285">
        <v>45</v>
      </c>
      <c r="E23" s="218"/>
      <c r="F23" s="219"/>
      <c r="G23" s="286"/>
      <c r="H23" s="304"/>
      <c r="I23" s="185">
        <v>45</v>
      </c>
      <c r="J23" s="185"/>
      <c r="K23" s="186"/>
      <c r="L23" s="185"/>
      <c r="M23" s="185"/>
      <c r="N23" s="185"/>
      <c r="O23" s="305"/>
      <c r="P23" s="318"/>
      <c r="Q23" s="191"/>
      <c r="R23" s="191"/>
      <c r="S23" s="191"/>
      <c r="T23" s="191"/>
      <c r="U23" s="232"/>
      <c r="V23" s="191"/>
      <c r="W23" s="192"/>
      <c r="X23" s="191"/>
      <c r="Y23" s="191"/>
      <c r="Z23" s="191"/>
      <c r="AA23" s="319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170" customFormat="1" ht="12" customHeight="1" x14ac:dyDescent="0.25">
      <c r="A24" s="273">
        <v>44694</v>
      </c>
      <c r="B24" s="231" t="s">
        <v>416</v>
      </c>
      <c r="C24" s="274" t="s">
        <v>145</v>
      </c>
      <c r="D24" s="285">
        <v>190.2</v>
      </c>
      <c r="E24" s="218"/>
      <c r="F24" s="219"/>
      <c r="G24" s="286"/>
      <c r="H24" s="304"/>
      <c r="I24" s="185"/>
      <c r="J24" s="185"/>
      <c r="K24" s="186">
        <v>190.2</v>
      </c>
      <c r="L24" s="185"/>
      <c r="M24" s="185"/>
      <c r="N24" s="185"/>
      <c r="O24" s="305"/>
      <c r="P24" s="318"/>
      <c r="Q24" s="191"/>
      <c r="R24" s="191"/>
      <c r="S24" s="191"/>
      <c r="T24" s="191"/>
      <c r="U24" s="232"/>
      <c r="V24" s="191"/>
      <c r="W24" s="192"/>
      <c r="X24" s="191"/>
      <c r="Y24" s="191"/>
      <c r="Z24" s="191"/>
      <c r="AA24" s="319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170" customFormat="1" ht="12" customHeight="1" x14ac:dyDescent="0.25">
      <c r="A25" s="273">
        <v>44694</v>
      </c>
      <c r="B25" s="231" t="s">
        <v>397</v>
      </c>
      <c r="C25" s="274" t="s">
        <v>145</v>
      </c>
      <c r="D25" s="285"/>
      <c r="E25" s="218"/>
      <c r="F25" s="219"/>
      <c r="G25" s="286">
        <v>9.4</v>
      </c>
      <c r="H25" s="304"/>
      <c r="I25" s="185"/>
      <c r="J25" s="185"/>
      <c r="K25" s="186"/>
      <c r="L25" s="185"/>
      <c r="M25" s="185"/>
      <c r="N25" s="185"/>
      <c r="O25" s="305"/>
      <c r="P25" s="318"/>
      <c r="Q25" s="191">
        <v>9.4</v>
      </c>
      <c r="R25" s="191"/>
      <c r="S25" s="191"/>
      <c r="T25" s="191"/>
      <c r="U25" s="232"/>
      <c r="V25" s="191"/>
      <c r="W25" s="192"/>
      <c r="X25" s="191"/>
      <c r="Y25" s="191"/>
      <c r="Z25" s="191"/>
      <c r="AA25" s="319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170" customFormat="1" ht="12" customHeight="1" x14ac:dyDescent="0.25">
      <c r="A26" s="273">
        <v>44694</v>
      </c>
      <c r="B26" s="231" t="s">
        <v>414</v>
      </c>
      <c r="C26" s="274" t="s">
        <v>145</v>
      </c>
      <c r="D26" s="285"/>
      <c r="E26" s="218"/>
      <c r="F26" s="219"/>
      <c r="G26" s="286">
        <v>2.1</v>
      </c>
      <c r="H26" s="304"/>
      <c r="I26" s="185"/>
      <c r="J26" s="185"/>
      <c r="K26" s="186"/>
      <c r="L26" s="185"/>
      <c r="M26" s="185"/>
      <c r="N26" s="185"/>
      <c r="O26" s="305"/>
      <c r="P26" s="318"/>
      <c r="Q26" s="191">
        <v>2.1</v>
      </c>
      <c r="R26" s="191"/>
      <c r="S26" s="191"/>
      <c r="T26" s="191"/>
      <c r="U26" s="232"/>
      <c r="V26" s="191"/>
      <c r="W26" s="192"/>
      <c r="X26" s="191"/>
      <c r="Y26" s="191"/>
      <c r="Z26" s="191"/>
      <c r="AA26" s="319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170" customFormat="1" ht="12" customHeight="1" x14ac:dyDescent="0.25">
      <c r="A27" s="273">
        <v>44694</v>
      </c>
      <c r="B27" s="231" t="s">
        <v>415</v>
      </c>
      <c r="C27" s="274" t="s">
        <v>145</v>
      </c>
      <c r="D27" s="285"/>
      <c r="E27" s="218"/>
      <c r="F27" s="219">
        <v>45</v>
      </c>
      <c r="G27" s="286"/>
      <c r="H27" s="304"/>
      <c r="I27" s="185"/>
      <c r="J27" s="185"/>
      <c r="K27" s="186">
        <v>45</v>
      </c>
      <c r="L27" s="185"/>
      <c r="M27" s="185"/>
      <c r="N27" s="185"/>
      <c r="O27" s="305"/>
      <c r="P27" s="318"/>
      <c r="Q27" s="191"/>
      <c r="R27" s="191"/>
      <c r="S27" s="191"/>
      <c r="T27" s="191"/>
      <c r="U27" s="232"/>
      <c r="V27" s="191"/>
      <c r="W27" s="192"/>
      <c r="X27" s="191"/>
      <c r="Y27" s="191"/>
      <c r="Z27" s="191"/>
      <c r="AA27" s="319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170" customFormat="1" ht="12" customHeight="1" x14ac:dyDescent="0.25">
      <c r="A28" s="273">
        <v>44694</v>
      </c>
      <c r="B28" s="231" t="s">
        <v>417</v>
      </c>
      <c r="C28" s="274" t="s">
        <v>145</v>
      </c>
      <c r="D28" s="285"/>
      <c r="E28" s="218"/>
      <c r="F28" s="219">
        <v>20</v>
      </c>
      <c r="G28" s="286"/>
      <c r="H28" s="304"/>
      <c r="I28" s="185"/>
      <c r="J28" s="185"/>
      <c r="K28" s="186">
        <v>20</v>
      </c>
      <c r="L28" s="185"/>
      <c r="M28" s="185"/>
      <c r="N28" s="185"/>
      <c r="O28" s="305"/>
      <c r="P28" s="318"/>
      <c r="Q28" s="191"/>
      <c r="R28" s="191"/>
      <c r="S28" s="191"/>
      <c r="T28" s="191"/>
      <c r="U28" s="232"/>
      <c r="V28" s="191"/>
      <c r="W28" s="192"/>
      <c r="X28" s="191"/>
      <c r="Y28" s="191"/>
      <c r="Z28" s="191"/>
      <c r="AA28" s="319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170" customFormat="1" ht="12" customHeight="1" x14ac:dyDescent="0.25">
      <c r="A29" s="273">
        <v>44694</v>
      </c>
      <c r="B29" s="231" t="s">
        <v>419</v>
      </c>
      <c r="C29" s="274" t="s">
        <v>145</v>
      </c>
      <c r="D29" s="285"/>
      <c r="E29" s="218"/>
      <c r="F29" s="219">
        <v>22</v>
      </c>
      <c r="G29" s="286"/>
      <c r="H29" s="304"/>
      <c r="I29" s="185"/>
      <c r="J29" s="185"/>
      <c r="K29" s="186">
        <v>22</v>
      </c>
      <c r="L29" s="185"/>
      <c r="M29" s="185"/>
      <c r="N29" s="185"/>
      <c r="O29" s="305"/>
      <c r="P29" s="318"/>
      <c r="Q29" s="191"/>
      <c r="R29" s="191"/>
      <c r="S29" s="191"/>
      <c r="T29" s="191"/>
      <c r="U29" s="232"/>
      <c r="V29" s="191"/>
      <c r="W29" s="192"/>
      <c r="X29" s="191"/>
      <c r="Y29" s="191"/>
      <c r="Z29" s="191"/>
      <c r="AA29" s="319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170" customFormat="1" ht="12" customHeight="1" x14ac:dyDescent="0.25">
      <c r="A30" s="273">
        <v>44694</v>
      </c>
      <c r="B30" s="231" t="s">
        <v>418</v>
      </c>
      <c r="C30" s="274" t="s">
        <v>145</v>
      </c>
      <c r="D30" s="285"/>
      <c r="E30" s="218"/>
      <c r="F30" s="219">
        <v>10</v>
      </c>
      <c r="G30" s="286"/>
      <c r="H30" s="304"/>
      <c r="I30" s="185"/>
      <c r="J30" s="185"/>
      <c r="K30" s="186">
        <v>10</v>
      </c>
      <c r="L30" s="185"/>
      <c r="M30" s="185"/>
      <c r="N30" s="185"/>
      <c r="O30" s="305"/>
      <c r="P30" s="318"/>
      <c r="Q30" s="191"/>
      <c r="R30" s="191"/>
      <c r="S30" s="191"/>
      <c r="T30" s="191"/>
      <c r="U30" s="232"/>
      <c r="V30" s="191"/>
      <c r="W30" s="192"/>
      <c r="X30" s="191"/>
      <c r="Y30" s="191"/>
      <c r="Z30" s="191"/>
      <c r="AA30" s="319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170" customFormat="1" ht="12" customHeight="1" x14ac:dyDescent="0.25">
      <c r="A31" s="273">
        <v>44694</v>
      </c>
      <c r="B31" s="231" t="s">
        <v>419</v>
      </c>
      <c r="C31" s="274" t="s">
        <v>145</v>
      </c>
      <c r="D31" s="285">
        <v>118</v>
      </c>
      <c r="E31" s="218"/>
      <c r="F31" s="219"/>
      <c r="G31" s="286"/>
      <c r="H31" s="304"/>
      <c r="I31" s="185"/>
      <c r="J31" s="185"/>
      <c r="K31" s="186">
        <v>118</v>
      </c>
      <c r="L31" s="185"/>
      <c r="M31" s="185"/>
      <c r="N31" s="185"/>
      <c r="O31" s="305"/>
      <c r="P31" s="318"/>
      <c r="Q31" s="191"/>
      <c r="R31" s="191"/>
      <c r="S31" s="191"/>
      <c r="T31" s="191"/>
      <c r="U31" s="232"/>
      <c r="V31" s="191"/>
      <c r="W31" s="192"/>
      <c r="X31" s="191"/>
      <c r="Y31" s="191"/>
      <c r="Z31" s="191"/>
      <c r="AA31" s="319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170" customFormat="1" ht="12" customHeight="1" x14ac:dyDescent="0.25">
      <c r="A32" s="273">
        <v>44694</v>
      </c>
      <c r="B32" s="231" t="s">
        <v>420</v>
      </c>
      <c r="C32" s="274" t="s">
        <v>145</v>
      </c>
      <c r="D32" s="285">
        <v>20</v>
      </c>
      <c r="E32" s="218"/>
      <c r="F32" s="219"/>
      <c r="G32" s="286"/>
      <c r="H32" s="304"/>
      <c r="I32" s="185"/>
      <c r="J32" s="185"/>
      <c r="K32" s="186">
        <v>20</v>
      </c>
      <c r="L32" s="185"/>
      <c r="M32" s="185"/>
      <c r="N32" s="185"/>
      <c r="O32" s="305"/>
      <c r="P32" s="318"/>
      <c r="Q32" s="191"/>
      <c r="R32" s="191"/>
      <c r="S32" s="191"/>
      <c r="T32" s="191"/>
      <c r="U32" s="232"/>
      <c r="V32" s="191"/>
      <c r="W32" s="192"/>
      <c r="X32" s="191"/>
      <c r="Y32" s="191"/>
      <c r="Z32" s="191"/>
      <c r="AA32" s="319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170" customFormat="1" ht="12" customHeight="1" x14ac:dyDescent="0.25">
      <c r="A33" s="273">
        <v>44694</v>
      </c>
      <c r="B33" s="231" t="s">
        <v>421</v>
      </c>
      <c r="C33" s="274" t="s">
        <v>145</v>
      </c>
      <c r="D33" s="285"/>
      <c r="E33" s="218"/>
      <c r="F33" s="219">
        <v>25.5</v>
      </c>
      <c r="G33" s="286"/>
      <c r="H33" s="304"/>
      <c r="I33" s="185"/>
      <c r="J33" s="185"/>
      <c r="K33" s="186">
        <v>25.5</v>
      </c>
      <c r="L33" s="185"/>
      <c r="M33" s="185"/>
      <c r="N33" s="185"/>
      <c r="O33" s="305"/>
      <c r="P33" s="318"/>
      <c r="Q33" s="191"/>
      <c r="R33" s="191"/>
      <c r="S33" s="191"/>
      <c r="T33" s="191"/>
      <c r="U33" s="232"/>
      <c r="V33" s="191"/>
      <c r="W33" s="192"/>
      <c r="X33" s="191"/>
      <c r="Y33" s="191"/>
      <c r="Z33" s="191"/>
      <c r="AA33" s="319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170" customFormat="1" ht="12" customHeight="1" x14ac:dyDescent="0.25">
      <c r="A34" s="273">
        <v>44694</v>
      </c>
      <c r="B34" s="231" t="s">
        <v>422</v>
      </c>
      <c r="C34" s="274" t="s">
        <v>145</v>
      </c>
      <c r="D34" s="285">
        <v>99</v>
      </c>
      <c r="E34" s="218"/>
      <c r="F34" s="219"/>
      <c r="G34" s="286"/>
      <c r="H34" s="304"/>
      <c r="I34" s="185"/>
      <c r="J34" s="185"/>
      <c r="K34" s="186">
        <v>99</v>
      </c>
      <c r="L34" s="185"/>
      <c r="M34" s="185"/>
      <c r="N34" s="185"/>
      <c r="O34" s="305"/>
      <c r="P34" s="318"/>
      <c r="Q34" s="191"/>
      <c r="R34" s="191"/>
      <c r="S34" s="191"/>
      <c r="T34" s="191"/>
      <c r="U34" s="232"/>
      <c r="V34" s="191"/>
      <c r="W34" s="192"/>
      <c r="X34" s="191"/>
      <c r="Y34" s="191"/>
      <c r="Z34" s="191"/>
      <c r="AA34" s="319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170" customFormat="1" ht="12" customHeight="1" x14ac:dyDescent="0.25">
      <c r="A35" s="273">
        <v>44694</v>
      </c>
      <c r="B35" s="231" t="s">
        <v>423</v>
      </c>
      <c r="C35" s="274" t="s">
        <v>145</v>
      </c>
      <c r="D35" s="285">
        <v>449.3</v>
      </c>
      <c r="E35" s="218"/>
      <c r="F35" s="219"/>
      <c r="G35" s="286">
        <v>449.3</v>
      </c>
      <c r="H35" s="304"/>
      <c r="I35" s="185"/>
      <c r="J35" s="185"/>
      <c r="K35" s="186"/>
      <c r="L35" s="185"/>
      <c r="M35" s="185"/>
      <c r="N35" s="185"/>
      <c r="O35" s="305"/>
      <c r="P35" s="318"/>
      <c r="Q35" s="191"/>
      <c r="R35" s="191"/>
      <c r="S35" s="191"/>
      <c r="T35" s="191"/>
      <c r="U35" s="232"/>
      <c r="V35" s="191"/>
      <c r="W35" s="192"/>
      <c r="X35" s="191"/>
      <c r="Y35" s="191"/>
      <c r="Z35" s="191"/>
      <c r="AA35" s="319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170" customFormat="1" ht="12" customHeight="1" x14ac:dyDescent="0.25">
      <c r="A36" s="273">
        <v>44694</v>
      </c>
      <c r="B36" s="231" t="s">
        <v>424</v>
      </c>
      <c r="C36" s="274" t="s">
        <v>145</v>
      </c>
      <c r="D36" s="285">
        <v>40</v>
      </c>
      <c r="E36" s="218"/>
      <c r="F36" s="219"/>
      <c r="G36" s="286"/>
      <c r="H36" s="304"/>
      <c r="I36" s="185">
        <v>40</v>
      </c>
      <c r="J36" s="185"/>
      <c r="K36" s="186"/>
      <c r="L36" s="185"/>
      <c r="M36" s="185"/>
      <c r="N36" s="185"/>
      <c r="O36" s="305"/>
      <c r="P36" s="318"/>
      <c r="Q36" s="191"/>
      <c r="R36" s="191"/>
      <c r="S36" s="191"/>
      <c r="T36" s="191"/>
      <c r="U36" s="232"/>
      <c r="V36" s="191"/>
      <c r="W36" s="192"/>
      <c r="X36" s="191"/>
      <c r="Y36" s="191"/>
      <c r="Z36" s="191"/>
      <c r="AA36" s="319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170" customFormat="1" ht="12" customHeight="1" x14ac:dyDescent="0.25">
      <c r="A37" s="273">
        <v>44702</v>
      </c>
      <c r="B37" s="231" t="s">
        <v>426</v>
      </c>
      <c r="C37" s="274" t="s">
        <v>145</v>
      </c>
      <c r="D37" s="285">
        <v>50</v>
      </c>
      <c r="E37" s="218"/>
      <c r="F37" s="219"/>
      <c r="G37" s="286"/>
      <c r="H37" s="304"/>
      <c r="I37" s="185">
        <v>50</v>
      </c>
      <c r="J37" s="185"/>
      <c r="K37" s="186"/>
      <c r="L37" s="185"/>
      <c r="M37" s="185"/>
      <c r="N37" s="185"/>
      <c r="O37" s="305"/>
      <c r="P37" s="318"/>
      <c r="Q37" s="191"/>
      <c r="R37" s="191"/>
      <c r="S37" s="191"/>
      <c r="T37" s="191"/>
      <c r="U37" s="232"/>
      <c r="V37" s="191"/>
      <c r="W37" s="192"/>
      <c r="X37" s="191"/>
      <c r="Y37" s="191"/>
      <c r="Z37" s="191"/>
      <c r="AA37" s="319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170" customFormat="1" ht="12" customHeight="1" x14ac:dyDescent="0.25">
      <c r="A38" s="273">
        <v>44702</v>
      </c>
      <c r="B38" s="231" t="s">
        <v>430</v>
      </c>
      <c r="C38" s="274" t="s">
        <v>145</v>
      </c>
      <c r="D38" s="285">
        <v>30</v>
      </c>
      <c r="E38" s="218"/>
      <c r="F38" s="219"/>
      <c r="G38" s="286"/>
      <c r="H38" s="304"/>
      <c r="I38" s="185">
        <v>30</v>
      </c>
      <c r="J38" s="185"/>
      <c r="K38" s="186"/>
      <c r="L38" s="185"/>
      <c r="M38" s="185"/>
      <c r="N38" s="185"/>
      <c r="O38" s="305"/>
      <c r="P38" s="318"/>
      <c r="Q38" s="191"/>
      <c r="R38" s="191"/>
      <c r="S38" s="191"/>
      <c r="T38" s="191"/>
      <c r="U38" s="232"/>
      <c r="V38" s="191"/>
      <c r="W38" s="192"/>
      <c r="X38" s="191"/>
      <c r="Y38" s="191"/>
      <c r="Z38" s="191"/>
      <c r="AA38" s="319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170" customFormat="1" ht="12" customHeight="1" x14ac:dyDescent="0.25">
      <c r="A39" s="273">
        <v>44702</v>
      </c>
      <c r="B39" s="231" t="s">
        <v>427</v>
      </c>
      <c r="C39" s="274" t="s">
        <v>145</v>
      </c>
      <c r="D39" s="285">
        <v>50</v>
      </c>
      <c r="E39" s="218"/>
      <c r="F39" s="219"/>
      <c r="G39" s="286"/>
      <c r="H39" s="304"/>
      <c r="I39" s="185">
        <v>50</v>
      </c>
      <c r="J39" s="185"/>
      <c r="K39" s="186"/>
      <c r="L39" s="185"/>
      <c r="M39" s="185"/>
      <c r="N39" s="185"/>
      <c r="O39" s="305"/>
      <c r="P39" s="318"/>
      <c r="Q39" s="191"/>
      <c r="R39" s="191"/>
      <c r="S39" s="191"/>
      <c r="T39" s="191"/>
      <c r="U39" s="232"/>
      <c r="V39" s="191"/>
      <c r="W39" s="192"/>
      <c r="X39" s="191"/>
      <c r="Y39" s="191"/>
      <c r="Z39" s="191"/>
      <c r="AA39" s="319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170" customFormat="1" ht="12" customHeight="1" x14ac:dyDescent="0.25">
      <c r="A40" s="273">
        <v>44702</v>
      </c>
      <c r="B40" s="231" t="s">
        <v>432</v>
      </c>
      <c r="C40" s="274" t="s">
        <v>145</v>
      </c>
      <c r="D40" s="285"/>
      <c r="E40" s="218"/>
      <c r="F40" s="219">
        <v>5</v>
      </c>
      <c r="G40" s="286"/>
      <c r="H40" s="304"/>
      <c r="I40" s="185"/>
      <c r="J40" s="185"/>
      <c r="K40" s="186">
        <v>5</v>
      </c>
      <c r="L40" s="185"/>
      <c r="M40" s="185"/>
      <c r="N40" s="185"/>
      <c r="O40" s="305"/>
      <c r="P40" s="318"/>
      <c r="Q40" s="191"/>
      <c r="R40" s="191"/>
      <c r="S40" s="191"/>
      <c r="T40" s="191"/>
      <c r="U40" s="232"/>
      <c r="V40" s="191"/>
      <c r="W40" s="192"/>
      <c r="X40" s="191"/>
      <c r="Y40" s="191"/>
      <c r="Z40" s="191"/>
      <c r="AA40" s="319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170" customFormat="1" ht="12" customHeight="1" x14ac:dyDescent="0.25">
      <c r="A41" s="273">
        <v>44702</v>
      </c>
      <c r="B41" s="231" t="s">
        <v>433</v>
      </c>
      <c r="C41" s="274" t="s">
        <v>145</v>
      </c>
      <c r="D41" s="285">
        <v>68</v>
      </c>
      <c r="E41" s="218"/>
      <c r="F41" s="219"/>
      <c r="G41" s="286"/>
      <c r="H41" s="304"/>
      <c r="I41" s="185"/>
      <c r="J41" s="185"/>
      <c r="K41" s="186">
        <v>68</v>
      </c>
      <c r="L41" s="185"/>
      <c r="M41" s="185"/>
      <c r="N41" s="185"/>
      <c r="O41" s="305"/>
      <c r="P41" s="318"/>
      <c r="Q41" s="191"/>
      <c r="R41" s="191"/>
      <c r="S41" s="191"/>
      <c r="T41" s="191"/>
      <c r="U41" s="232"/>
      <c r="V41" s="191"/>
      <c r="W41" s="192"/>
      <c r="X41" s="191"/>
      <c r="Y41" s="191"/>
      <c r="Z41" s="191"/>
      <c r="AA41" s="319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44702</v>
      </c>
      <c r="B42" s="231" t="s">
        <v>434</v>
      </c>
      <c r="C42" s="274" t="s">
        <v>145</v>
      </c>
      <c r="D42" s="285">
        <v>37.5</v>
      </c>
      <c r="E42" s="218"/>
      <c r="F42" s="219"/>
      <c r="G42" s="286"/>
      <c r="H42" s="304"/>
      <c r="I42" s="185"/>
      <c r="J42" s="185"/>
      <c r="K42" s="186">
        <v>37.5</v>
      </c>
      <c r="L42" s="185"/>
      <c r="M42" s="185"/>
      <c r="N42" s="185"/>
      <c r="O42" s="305"/>
      <c r="P42" s="318"/>
      <c r="Q42" s="191"/>
      <c r="R42" s="191"/>
      <c r="S42" s="191"/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170" customFormat="1" ht="12" customHeight="1" x14ac:dyDescent="0.25">
      <c r="A43" s="273">
        <v>44702</v>
      </c>
      <c r="B43" s="231" t="s">
        <v>435</v>
      </c>
      <c r="C43" s="274" t="s">
        <v>145</v>
      </c>
      <c r="D43" s="285"/>
      <c r="E43" s="218"/>
      <c r="F43" s="219">
        <v>38</v>
      </c>
      <c r="G43" s="286"/>
      <c r="H43" s="304"/>
      <c r="I43" s="185"/>
      <c r="J43" s="185"/>
      <c r="K43" s="186">
        <v>38</v>
      </c>
      <c r="L43" s="185"/>
      <c r="M43" s="185"/>
      <c r="N43" s="185"/>
      <c r="O43" s="305"/>
      <c r="P43" s="318"/>
      <c r="Q43" s="191"/>
      <c r="R43" s="191"/>
      <c r="S43" s="191"/>
      <c r="T43" s="191"/>
      <c r="U43" s="232"/>
      <c r="V43" s="191"/>
      <c r="W43" s="192"/>
      <c r="X43" s="191"/>
      <c r="Y43" s="191"/>
      <c r="Z43" s="191"/>
      <c r="AA43" s="319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170" customFormat="1" ht="12" customHeight="1" x14ac:dyDescent="0.25">
      <c r="A44" s="273">
        <v>44702</v>
      </c>
      <c r="B44" s="231" t="s">
        <v>428</v>
      </c>
      <c r="C44" s="274" t="s">
        <v>145</v>
      </c>
      <c r="D44" s="285"/>
      <c r="E44" s="218"/>
      <c r="F44" s="219"/>
      <c r="G44" s="286">
        <v>4.95</v>
      </c>
      <c r="H44" s="304"/>
      <c r="I44" s="185"/>
      <c r="J44" s="185"/>
      <c r="K44" s="186"/>
      <c r="L44" s="185"/>
      <c r="M44" s="185"/>
      <c r="N44" s="185"/>
      <c r="O44" s="305"/>
      <c r="P44" s="318"/>
      <c r="Q44" s="191"/>
      <c r="R44" s="191"/>
      <c r="S44" s="191">
        <v>4.95</v>
      </c>
      <c r="T44" s="191"/>
      <c r="U44" s="232"/>
      <c r="V44" s="191"/>
      <c r="W44" s="192"/>
      <c r="X44" s="191"/>
      <c r="Y44" s="191"/>
      <c r="Z44" s="191"/>
      <c r="AA44" s="319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170" customFormat="1" ht="12" customHeight="1" x14ac:dyDescent="0.25">
      <c r="A45" s="273">
        <v>44702</v>
      </c>
      <c r="B45" s="231" t="s">
        <v>429</v>
      </c>
      <c r="C45" s="274" t="s">
        <v>145</v>
      </c>
      <c r="D45" s="285"/>
      <c r="E45" s="218"/>
      <c r="F45" s="219"/>
      <c r="G45" s="286">
        <v>2.98</v>
      </c>
      <c r="H45" s="304"/>
      <c r="I45" s="185"/>
      <c r="J45" s="185"/>
      <c r="K45" s="186"/>
      <c r="L45" s="185"/>
      <c r="M45" s="185"/>
      <c r="N45" s="185"/>
      <c r="O45" s="305"/>
      <c r="P45" s="318"/>
      <c r="Q45" s="191"/>
      <c r="R45" s="191"/>
      <c r="S45" s="191">
        <v>2.98</v>
      </c>
      <c r="T45" s="191"/>
      <c r="U45" s="232"/>
      <c r="V45" s="191"/>
      <c r="W45" s="192"/>
      <c r="X45" s="191"/>
      <c r="Y45" s="191"/>
      <c r="Z45" s="191"/>
      <c r="AA45" s="319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170" customFormat="1" ht="12" customHeight="1" x14ac:dyDescent="0.25">
      <c r="A46" s="273">
        <v>44702</v>
      </c>
      <c r="B46" s="231" t="s">
        <v>431</v>
      </c>
      <c r="C46" s="274" t="s">
        <v>145</v>
      </c>
      <c r="D46" s="285"/>
      <c r="E46" s="218">
        <v>18</v>
      </c>
      <c r="F46" s="219"/>
      <c r="G46" s="286"/>
      <c r="H46" s="304"/>
      <c r="I46" s="185"/>
      <c r="J46" s="185"/>
      <c r="K46" s="186"/>
      <c r="L46" s="185"/>
      <c r="M46" s="185"/>
      <c r="N46" s="185"/>
      <c r="O46" s="305"/>
      <c r="P46" s="318"/>
      <c r="Q46" s="191"/>
      <c r="R46" s="191"/>
      <c r="S46" s="191">
        <v>18</v>
      </c>
      <c r="T46" s="191"/>
      <c r="U46" s="232"/>
      <c r="V46" s="191"/>
      <c r="W46" s="192"/>
      <c r="X46" s="191"/>
      <c r="Y46" s="191"/>
      <c r="Z46" s="191"/>
      <c r="AA46" s="319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170" customFormat="1" ht="12" customHeight="1" x14ac:dyDescent="0.25">
      <c r="A47" s="273">
        <v>44704</v>
      </c>
      <c r="B47" s="231" t="s">
        <v>194</v>
      </c>
      <c r="C47" s="274" t="s">
        <v>145</v>
      </c>
      <c r="D47" s="285">
        <v>50</v>
      </c>
      <c r="E47" s="218"/>
      <c r="F47" s="219"/>
      <c r="G47" s="286"/>
      <c r="H47" s="304"/>
      <c r="I47" s="185">
        <v>50</v>
      </c>
      <c r="J47" s="185"/>
      <c r="K47" s="186"/>
      <c r="L47" s="185"/>
      <c r="M47" s="185"/>
      <c r="N47" s="185"/>
      <c r="O47" s="305"/>
      <c r="P47" s="318"/>
      <c r="Q47" s="191"/>
      <c r="R47" s="191"/>
      <c r="S47" s="191"/>
      <c r="T47" s="191"/>
      <c r="U47" s="232"/>
      <c r="V47" s="191"/>
      <c r="W47" s="192"/>
      <c r="X47" s="191"/>
      <c r="Y47" s="191"/>
      <c r="Z47" s="191"/>
      <c r="AA47" s="319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170" customFormat="1" ht="12" customHeight="1" x14ac:dyDescent="0.25">
      <c r="A48" s="273">
        <v>44704</v>
      </c>
      <c r="B48" s="231" t="s">
        <v>436</v>
      </c>
      <c r="C48" s="274" t="s">
        <v>145</v>
      </c>
      <c r="D48" s="285">
        <v>100.02</v>
      </c>
      <c r="E48" s="218"/>
      <c r="F48" s="219"/>
      <c r="G48" s="286"/>
      <c r="H48" s="304"/>
      <c r="I48" s="185">
        <v>100.02</v>
      </c>
      <c r="J48" s="185"/>
      <c r="K48" s="186"/>
      <c r="L48" s="185"/>
      <c r="M48" s="185"/>
      <c r="N48" s="185"/>
      <c r="O48" s="305"/>
      <c r="P48" s="318"/>
      <c r="Q48" s="191"/>
      <c r="R48" s="191"/>
      <c r="S48" s="191"/>
      <c r="T48" s="191"/>
      <c r="U48" s="232"/>
      <c r="V48" s="191"/>
      <c r="W48" s="192"/>
      <c r="X48" s="191"/>
      <c r="Y48" s="191"/>
      <c r="Z48" s="191"/>
      <c r="AA48" s="319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170" customFormat="1" ht="12" customHeight="1" x14ac:dyDescent="0.25">
      <c r="A49" s="273">
        <v>44705</v>
      </c>
      <c r="B49" s="231" t="s">
        <v>231</v>
      </c>
      <c r="C49" s="274" t="s">
        <v>145</v>
      </c>
      <c r="D49" s="285">
        <v>60</v>
      </c>
      <c r="E49" s="218"/>
      <c r="F49" s="219"/>
      <c r="G49" s="286"/>
      <c r="H49" s="304"/>
      <c r="I49" s="185">
        <v>60</v>
      </c>
      <c r="J49" s="185"/>
      <c r="K49" s="186"/>
      <c r="L49" s="185"/>
      <c r="M49" s="185"/>
      <c r="N49" s="185"/>
      <c r="O49" s="305"/>
      <c r="P49" s="318"/>
      <c r="Q49" s="191"/>
      <c r="R49" s="191"/>
      <c r="S49" s="191"/>
      <c r="T49" s="191"/>
      <c r="U49" s="232"/>
      <c r="V49" s="191"/>
      <c r="W49" s="192"/>
      <c r="X49" s="191"/>
      <c r="Y49" s="191"/>
      <c r="Z49" s="191"/>
      <c r="AA49" s="319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44705</v>
      </c>
      <c r="B50" s="231" t="s">
        <v>437</v>
      </c>
      <c r="C50" s="274" t="s">
        <v>145</v>
      </c>
      <c r="D50" s="285">
        <v>46</v>
      </c>
      <c r="E50" s="218"/>
      <c r="F50" s="219"/>
      <c r="G50" s="286"/>
      <c r="H50" s="304"/>
      <c r="I50" s="185"/>
      <c r="J50" s="185"/>
      <c r="K50" s="186">
        <v>46</v>
      </c>
      <c r="L50" s="185"/>
      <c r="M50" s="185"/>
      <c r="N50" s="185"/>
      <c r="O50" s="305"/>
      <c r="P50" s="318"/>
      <c r="Q50" s="191"/>
      <c r="R50" s="191"/>
      <c r="S50" s="191"/>
      <c r="T50" s="191"/>
      <c r="U50" s="232"/>
      <c r="V50" s="191"/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170" customFormat="1" ht="12" customHeight="1" x14ac:dyDescent="0.25">
      <c r="A51" s="273">
        <v>44705</v>
      </c>
      <c r="B51" s="231" t="s">
        <v>438</v>
      </c>
      <c r="C51" s="274" t="s">
        <v>145</v>
      </c>
      <c r="D51" s="285"/>
      <c r="E51" s="218"/>
      <c r="F51" s="219">
        <v>48</v>
      </c>
      <c r="G51" s="286"/>
      <c r="H51" s="304"/>
      <c r="I51" s="185"/>
      <c r="J51" s="185"/>
      <c r="K51" s="186">
        <v>48</v>
      </c>
      <c r="L51" s="185"/>
      <c r="M51" s="185"/>
      <c r="N51" s="185"/>
      <c r="O51" s="305"/>
      <c r="P51" s="318"/>
      <c r="Q51" s="191"/>
      <c r="R51" s="191"/>
      <c r="S51" s="191"/>
      <c r="T51" s="191"/>
      <c r="U51" s="232"/>
      <c r="V51" s="191"/>
      <c r="W51" s="192"/>
      <c r="X51" s="191"/>
      <c r="Y51" s="191"/>
      <c r="Z51" s="191"/>
      <c r="AA51" s="319"/>
      <c r="AB51" s="168"/>
      <c r="AC51" s="168"/>
      <c r="AD51" s="168"/>
      <c r="AE51" s="168"/>
      <c r="AF51" s="168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</row>
    <row r="52" spans="1:115" s="170" customFormat="1" ht="12" customHeight="1" x14ac:dyDescent="0.25">
      <c r="A52" s="273">
        <v>44705</v>
      </c>
      <c r="B52" s="231" t="s">
        <v>439</v>
      </c>
      <c r="C52" s="274" t="s">
        <v>145</v>
      </c>
      <c r="D52" s="285">
        <v>37.5</v>
      </c>
      <c r="E52" s="218"/>
      <c r="F52" s="219"/>
      <c r="G52" s="286"/>
      <c r="H52" s="304"/>
      <c r="I52" s="185"/>
      <c r="J52" s="185"/>
      <c r="K52" s="186">
        <v>37.5</v>
      </c>
      <c r="L52" s="185"/>
      <c r="M52" s="185"/>
      <c r="N52" s="185"/>
      <c r="O52" s="305"/>
      <c r="P52" s="318"/>
      <c r="Q52" s="191"/>
      <c r="R52" s="191"/>
      <c r="S52" s="191"/>
      <c r="T52" s="191"/>
      <c r="U52" s="232"/>
      <c r="V52" s="191"/>
      <c r="W52" s="192"/>
      <c r="X52" s="191"/>
      <c r="Y52" s="191"/>
      <c r="Z52" s="191"/>
      <c r="AA52" s="319"/>
      <c r="AB52" s="168"/>
      <c r="AC52" s="168"/>
      <c r="AD52" s="168"/>
      <c r="AE52" s="168"/>
      <c r="AF52" s="168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</row>
    <row r="53" spans="1:115" s="170" customFormat="1" ht="12" customHeight="1" x14ac:dyDescent="0.25">
      <c r="A53" s="273">
        <v>44705</v>
      </c>
      <c r="B53" s="231" t="s">
        <v>440</v>
      </c>
      <c r="C53" s="274" t="s">
        <v>145</v>
      </c>
      <c r="D53" s="285"/>
      <c r="E53" s="218"/>
      <c r="F53" s="219">
        <v>19</v>
      </c>
      <c r="G53" s="286"/>
      <c r="H53" s="304"/>
      <c r="I53" s="185"/>
      <c r="J53" s="185"/>
      <c r="K53" s="186">
        <v>19</v>
      </c>
      <c r="L53" s="185"/>
      <c r="M53" s="185"/>
      <c r="N53" s="185"/>
      <c r="O53" s="305"/>
      <c r="P53" s="318"/>
      <c r="Q53" s="191"/>
      <c r="R53" s="191"/>
      <c r="S53" s="191"/>
      <c r="T53" s="191"/>
      <c r="U53" s="232"/>
      <c r="V53" s="191"/>
      <c r="W53" s="192"/>
      <c r="X53" s="191"/>
      <c r="Y53" s="191"/>
      <c r="Z53" s="191"/>
      <c r="AA53" s="319"/>
      <c r="AB53" s="168"/>
      <c r="AC53" s="168"/>
      <c r="AD53" s="168"/>
      <c r="AE53" s="168"/>
      <c r="AF53" s="168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</row>
    <row r="54" spans="1:115" s="170" customFormat="1" ht="12" customHeight="1" x14ac:dyDescent="0.25">
      <c r="A54" s="273">
        <v>44705</v>
      </c>
      <c r="B54" s="231" t="s">
        <v>440</v>
      </c>
      <c r="C54" s="274" t="s">
        <v>145</v>
      </c>
      <c r="D54" s="285"/>
      <c r="E54" s="218"/>
      <c r="F54" s="219">
        <v>3.2</v>
      </c>
      <c r="G54" s="286"/>
      <c r="H54" s="304"/>
      <c r="I54" s="185"/>
      <c r="J54" s="185"/>
      <c r="K54" s="186">
        <v>3.2</v>
      </c>
      <c r="L54" s="185"/>
      <c r="M54" s="185"/>
      <c r="N54" s="185"/>
      <c r="O54" s="305"/>
      <c r="P54" s="318"/>
      <c r="Q54" s="191"/>
      <c r="R54" s="191"/>
      <c r="S54" s="191"/>
      <c r="T54" s="191"/>
      <c r="U54" s="232"/>
      <c r="V54" s="191"/>
      <c r="W54" s="192"/>
      <c r="X54" s="191"/>
      <c r="Y54" s="191"/>
      <c r="Z54" s="191"/>
      <c r="AA54" s="319"/>
      <c r="AB54" s="168"/>
      <c r="AC54" s="168"/>
      <c r="AD54" s="168"/>
      <c r="AE54" s="168"/>
      <c r="AF54" s="168"/>
      <c r="AG54" s="168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</row>
    <row r="55" spans="1:115" s="170" customFormat="1" ht="12" customHeight="1" x14ac:dyDescent="0.25">
      <c r="A55" s="273">
        <v>44705</v>
      </c>
      <c r="B55" s="231" t="s">
        <v>441</v>
      </c>
      <c r="C55" s="274" t="s">
        <v>145</v>
      </c>
      <c r="D55" s="285"/>
      <c r="E55" s="218"/>
      <c r="F55" s="219">
        <v>38</v>
      </c>
      <c r="G55" s="286"/>
      <c r="H55" s="304"/>
      <c r="I55" s="185"/>
      <c r="J55" s="185"/>
      <c r="K55" s="186">
        <v>38</v>
      </c>
      <c r="L55" s="185"/>
      <c r="M55" s="185"/>
      <c r="N55" s="185"/>
      <c r="O55" s="305"/>
      <c r="P55" s="318"/>
      <c r="Q55" s="191"/>
      <c r="R55" s="191"/>
      <c r="S55" s="191"/>
      <c r="T55" s="191"/>
      <c r="U55" s="232"/>
      <c r="V55" s="191"/>
      <c r="W55" s="192"/>
      <c r="X55" s="191"/>
      <c r="Y55" s="191"/>
      <c r="Z55" s="191"/>
      <c r="AA55" s="319"/>
      <c r="AB55" s="168"/>
      <c r="AC55" s="168"/>
      <c r="AD55" s="168"/>
      <c r="AE55" s="168"/>
      <c r="AF55" s="168"/>
      <c r="AG55" s="168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</row>
    <row r="56" spans="1:115" s="170" customFormat="1" ht="12" customHeight="1" x14ac:dyDescent="0.25">
      <c r="A56" s="273">
        <v>44705</v>
      </c>
      <c r="B56" s="231" t="s">
        <v>445</v>
      </c>
      <c r="C56" s="274" t="s">
        <v>145</v>
      </c>
      <c r="D56" s="285"/>
      <c r="E56" s="218"/>
      <c r="F56" s="219">
        <v>48</v>
      </c>
      <c r="G56" s="286"/>
      <c r="H56" s="304"/>
      <c r="I56" s="185"/>
      <c r="J56" s="185"/>
      <c r="K56" s="186">
        <v>48</v>
      </c>
      <c r="L56" s="185"/>
      <c r="M56" s="185"/>
      <c r="N56" s="185"/>
      <c r="O56" s="305"/>
      <c r="P56" s="318"/>
      <c r="Q56" s="191"/>
      <c r="R56" s="191"/>
      <c r="S56" s="191"/>
      <c r="T56" s="191"/>
      <c r="U56" s="232"/>
      <c r="V56" s="191"/>
      <c r="W56" s="192"/>
      <c r="X56" s="191"/>
      <c r="Y56" s="191"/>
      <c r="Z56" s="191"/>
      <c r="AA56" s="319"/>
      <c r="AB56" s="168"/>
      <c r="AC56" s="168"/>
      <c r="AD56" s="168"/>
      <c r="AE56" s="168"/>
      <c r="AF56" s="168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</row>
    <row r="57" spans="1:115" s="170" customFormat="1" ht="12" customHeight="1" x14ac:dyDescent="0.25">
      <c r="A57" s="273">
        <v>44708</v>
      </c>
      <c r="B57" s="231" t="s">
        <v>142</v>
      </c>
      <c r="C57" s="274" t="s">
        <v>145</v>
      </c>
      <c r="D57" s="285">
        <v>23</v>
      </c>
      <c r="E57" s="218"/>
      <c r="F57" s="219"/>
      <c r="G57" s="286"/>
      <c r="H57" s="304"/>
      <c r="I57" s="185">
        <v>23</v>
      </c>
      <c r="J57" s="185"/>
      <c r="K57" s="186"/>
      <c r="L57" s="185"/>
      <c r="M57" s="185"/>
      <c r="N57" s="185"/>
      <c r="O57" s="305"/>
      <c r="P57" s="318"/>
      <c r="Q57" s="191"/>
      <c r="R57" s="191"/>
      <c r="S57" s="191"/>
      <c r="T57" s="191"/>
      <c r="U57" s="232"/>
      <c r="V57" s="191"/>
      <c r="W57" s="192"/>
      <c r="X57" s="191"/>
      <c r="Y57" s="191"/>
      <c r="Z57" s="191"/>
      <c r="AA57" s="319"/>
      <c r="AB57" s="168"/>
      <c r="AC57" s="168"/>
      <c r="AD57" s="168"/>
      <c r="AE57" s="168"/>
      <c r="AF57" s="168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</row>
    <row r="58" spans="1:115" s="170" customFormat="1" ht="12" customHeight="1" x14ac:dyDescent="0.25">
      <c r="A58" s="273">
        <v>44708</v>
      </c>
      <c r="B58" s="231" t="s">
        <v>444</v>
      </c>
      <c r="C58" s="274" t="s">
        <v>145</v>
      </c>
      <c r="D58" s="285"/>
      <c r="E58" s="218">
        <v>93.85</v>
      </c>
      <c r="F58" s="219"/>
      <c r="G58" s="286"/>
      <c r="H58" s="304"/>
      <c r="I58" s="185"/>
      <c r="J58" s="185"/>
      <c r="K58" s="186"/>
      <c r="L58" s="185"/>
      <c r="M58" s="185"/>
      <c r="N58" s="185"/>
      <c r="O58" s="305"/>
      <c r="P58" s="318"/>
      <c r="Q58" s="191"/>
      <c r="R58" s="191"/>
      <c r="S58" s="191">
        <v>93.85</v>
      </c>
      <c r="T58" s="191"/>
      <c r="U58" s="232"/>
      <c r="V58" s="191"/>
      <c r="W58" s="192"/>
      <c r="X58" s="191"/>
      <c r="Y58" s="191"/>
      <c r="Z58" s="191"/>
      <c r="AA58" s="319"/>
      <c r="AB58" s="168"/>
      <c r="AC58" s="168"/>
      <c r="AD58" s="168"/>
      <c r="AE58" s="168"/>
      <c r="AF58" s="168"/>
      <c r="AG58" s="168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</row>
    <row r="59" spans="1:115" s="170" customFormat="1" ht="12" customHeight="1" x14ac:dyDescent="0.25">
      <c r="A59" s="273">
        <v>44710</v>
      </c>
      <c r="B59" s="231" t="s">
        <v>208</v>
      </c>
      <c r="C59" s="274" t="s">
        <v>145</v>
      </c>
      <c r="D59" s="285"/>
      <c r="E59" s="218">
        <v>172.8</v>
      </c>
      <c r="F59" s="219"/>
      <c r="G59" s="286"/>
      <c r="H59" s="304"/>
      <c r="I59" s="185"/>
      <c r="J59" s="185"/>
      <c r="K59" s="186"/>
      <c r="L59" s="185"/>
      <c r="M59" s="185"/>
      <c r="N59" s="185"/>
      <c r="O59" s="305"/>
      <c r="P59" s="318"/>
      <c r="Q59" s="191"/>
      <c r="R59" s="191"/>
      <c r="S59" s="191"/>
      <c r="T59" s="191"/>
      <c r="U59" s="232"/>
      <c r="V59" s="191">
        <v>172.8</v>
      </c>
      <c r="W59" s="192"/>
      <c r="X59" s="191"/>
      <c r="Y59" s="191"/>
      <c r="Z59" s="191"/>
      <c r="AA59" s="319"/>
      <c r="AB59" s="168"/>
      <c r="AC59" s="168"/>
      <c r="AD59" s="168"/>
      <c r="AE59" s="168"/>
      <c r="AF59" s="168"/>
      <c r="AG59" s="168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</row>
    <row r="60" spans="1:115" s="527" customFormat="1" ht="12" customHeight="1" x14ac:dyDescent="0.25">
      <c r="A60" s="511">
        <v>44711</v>
      </c>
      <c r="B60" s="512" t="s">
        <v>449</v>
      </c>
      <c r="C60" s="513" t="s">
        <v>145</v>
      </c>
      <c r="D60" s="514">
        <v>700</v>
      </c>
      <c r="E60" s="515"/>
      <c r="F60" s="516"/>
      <c r="G60" s="517"/>
      <c r="H60" s="518"/>
      <c r="I60" s="519">
        <v>700</v>
      </c>
      <c r="J60" s="519"/>
      <c r="K60" s="520"/>
      <c r="L60" s="519"/>
      <c r="M60" s="519"/>
      <c r="N60" s="519"/>
      <c r="O60" s="521"/>
      <c r="P60" s="522"/>
      <c r="Q60" s="523"/>
      <c r="R60" s="523"/>
      <c r="S60" s="523"/>
      <c r="T60" s="523"/>
      <c r="U60" s="524"/>
      <c r="V60" s="523"/>
      <c r="W60" s="525"/>
      <c r="X60" s="523"/>
      <c r="Y60" s="523"/>
      <c r="Z60" s="523"/>
      <c r="AA60" s="526"/>
      <c r="AB60" s="168"/>
      <c r="AC60" s="168"/>
      <c r="AD60" s="168"/>
      <c r="AE60" s="168"/>
      <c r="AF60" s="168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</row>
    <row r="61" spans="1:115" s="527" customFormat="1" ht="12" customHeight="1" x14ac:dyDescent="0.25">
      <c r="A61" s="511">
        <v>44711</v>
      </c>
      <c r="B61" s="512" t="s">
        <v>296</v>
      </c>
      <c r="C61" s="513" t="s">
        <v>145</v>
      </c>
      <c r="D61" s="514">
        <v>100</v>
      </c>
      <c r="E61" s="515"/>
      <c r="F61" s="516"/>
      <c r="G61" s="517"/>
      <c r="H61" s="518"/>
      <c r="I61" s="519">
        <v>100</v>
      </c>
      <c r="J61" s="519"/>
      <c r="K61" s="520"/>
      <c r="L61" s="519"/>
      <c r="M61" s="519"/>
      <c r="N61" s="519"/>
      <c r="O61" s="521"/>
      <c r="P61" s="522"/>
      <c r="Q61" s="523"/>
      <c r="R61" s="523"/>
      <c r="S61" s="523"/>
      <c r="T61" s="523"/>
      <c r="U61" s="524"/>
      <c r="V61" s="523"/>
      <c r="W61" s="525"/>
      <c r="X61" s="523"/>
      <c r="Y61" s="523"/>
      <c r="Z61" s="523"/>
      <c r="AA61" s="526"/>
      <c r="AB61" s="168"/>
      <c r="AC61" s="168"/>
      <c r="AD61" s="168"/>
      <c r="AE61" s="168"/>
      <c r="AF61" s="168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</row>
    <row r="62" spans="1:115" s="527" customFormat="1" ht="12" customHeight="1" x14ac:dyDescent="0.25">
      <c r="A62" s="511">
        <v>44711</v>
      </c>
      <c r="B62" s="512" t="s">
        <v>446</v>
      </c>
      <c r="C62" s="513" t="s">
        <v>145</v>
      </c>
      <c r="D62" s="514">
        <v>67.5</v>
      </c>
      <c r="E62" s="515"/>
      <c r="F62" s="516"/>
      <c r="G62" s="517"/>
      <c r="H62" s="518"/>
      <c r="I62" s="519"/>
      <c r="J62" s="519"/>
      <c r="K62" s="520">
        <v>67.5</v>
      </c>
      <c r="L62" s="519"/>
      <c r="M62" s="519"/>
      <c r="N62" s="519"/>
      <c r="O62" s="521"/>
      <c r="P62" s="522"/>
      <c r="Q62" s="523"/>
      <c r="R62" s="523"/>
      <c r="S62" s="523"/>
      <c r="T62" s="523"/>
      <c r="U62" s="524"/>
      <c r="V62" s="523"/>
      <c r="W62" s="525"/>
      <c r="X62" s="523"/>
      <c r="Y62" s="523"/>
      <c r="Z62" s="523"/>
      <c r="AA62" s="526"/>
      <c r="AB62" s="168"/>
      <c r="AC62" s="168"/>
      <c r="AD62" s="168"/>
      <c r="AE62" s="168"/>
      <c r="AF62" s="168"/>
      <c r="AG62" s="168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</row>
    <row r="63" spans="1:115" s="527" customFormat="1" ht="12" customHeight="1" x14ac:dyDescent="0.25">
      <c r="A63" s="511">
        <v>44711</v>
      </c>
      <c r="B63" s="512" t="s">
        <v>448</v>
      </c>
      <c r="C63" s="513" t="s">
        <v>145</v>
      </c>
      <c r="D63" s="514"/>
      <c r="E63" s="515"/>
      <c r="F63" s="516">
        <v>44</v>
      </c>
      <c r="G63" s="517"/>
      <c r="H63" s="518"/>
      <c r="I63" s="519"/>
      <c r="J63" s="519"/>
      <c r="K63" s="520">
        <v>44</v>
      </c>
      <c r="L63" s="519"/>
      <c r="M63" s="519"/>
      <c r="N63" s="519"/>
      <c r="O63" s="521"/>
      <c r="P63" s="522"/>
      <c r="Q63" s="523"/>
      <c r="R63" s="523"/>
      <c r="S63" s="523"/>
      <c r="T63" s="523"/>
      <c r="U63" s="524"/>
      <c r="V63" s="523"/>
      <c r="W63" s="525"/>
      <c r="X63" s="523"/>
      <c r="Y63" s="523"/>
      <c r="Z63" s="523"/>
      <c r="AA63" s="526"/>
      <c r="AB63" s="168"/>
      <c r="AC63" s="168"/>
      <c r="AD63" s="168"/>
      <c r="AE63" s="168"/>
      <c r="AF63" s="168"/>
      <c r="AG63" s="168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</row>
    <row r="64" spans="1:115" s="527" customFormat="1" ht="12" customHeight="1" x14ac:dyDescent="0.25">
      <c r="A64" s="511">
        <v>44711</v>
      </c>
      <c r="B64" s="512" t="s">
        <v>447</v>
      </c>
      <c r="C64" s="513" t="s">
        <v>145</v>
      </c>
      <c r="D64" s="514"/>
      <c r="E64" s="515"/>
      <c r="F64" s="516">
        <v>176</v>
      </c>
      <c r="G64" s="517"/>
      <c r="H64" s="518"/>
      <c r="I64" s="519"/>
      <c r="J64" s="519"/>
      <c r="K64" s="520">
        <v>176</v>
      </c>
      <c r="L64" s="519"/>
      <c r="M64" s="519"/>
      <c r="N64" s="519"/>
      <c r="O64" s="521"/>
      <c r="P64" s="522"/>
      <c r="Q64" s="523"/>
      <c r="R64" s="523"/>
      <c r="S64" s="523"/>
      <c r="T64" s="523"/>
      <c r="U64" s="524"/>
      <c r="V64" s="523"/>
      <c r="W64" s="525"/>
      <c r="X64" s="523"/>
      <c r="Y64" s="523"/>
      <c r="Z64" s="523"/>
      <c r="AA64" s="526"/>
      <c r="AB64" s="168"/>
      <c r="AC64" s="168"/>
      <c r="AD64" s="168"/>
      <c r="AE64" s="168"/>
      <c r="AF64" s="168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</row>
    <row r="65" spans="1:115" s="527" customFormat="1" ht="12" customHeight="1" x14ac:dyDescent="0.25">
      <c r="A65" s="511">
        <v>44711</v>
      </c>
      <c r="B65" s="512" t="s">
        <v>442</v>
      </c>
      <c r="C65" s="513" t="s">
        <v>145</v>
      </c>
      <c r="D65" s="514"/>
      <c r="E65" s="515">
        <v>118.8</v>
      </c>
      <c r="F65" s="516"/>
      <c r="G65" s="517"/>
      <c r="H65" s="518"/>
      <c r="I65" s="519"/>
      <c r="J65" s="519"/>
      <c r="K65" s="520"/>
      <c r="L65" s="519"/>
      <c r="M65" s="519"/>
      <c r="N65" s="519"/>
      <c r="O65" s="521"/>
      <c r="P65" s="522"/>
      <c r="Q65" s="523"/>
      <c r="R65" s="523"/>
      <c r="S65" s="523"/>
      <c r="T65" s="523"/>
      <c r="U65" s="524"/>
      <c r="V65" s="523">
        <v>118.8</v>
      </c>
      <c r="W65" s="525"/>
      <c r="X65" s="523"/>
      <c r="Y65" s="523"/>
      <c r="Z65" s="523"/>
      <c r="AA65" s="526"/>
      <c r="AB65" s="168"/>
      <c r="AC65" s="168"/>
      <c r="AD65" s="168"/>
      <c r="AE65" s="168"/>
      <c r="AF65" s="168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</row>
    <row r="66" spans="1:115" s="527" customFormat="1" ht="12" customHeight="1" x14ac:dyDescent="0.25">
      <c r="A66" s="511">
        <v>44712</v>
      </c>
      <c r="B66" s="512" t="s">
        <v>449</v>
      </c>
      <c r="C66" s="513" t="s">
        <v>145</v>
      </c>
      <c r="D66" s="514">
        <v>300</v>
      </c>
      <c r="E66" s="515"/>
      <c r="F66" s="516"/>
      <c r="G66" s="517"/>
      <c r="H66" s="518"/>
      <c r="I66" s="519">
        <v>300</v>
      </c>
      <c r="J66" s="519"/>
      <c r="K66" s="520"/>
      <c r="L66" s="519"/>
      <c r="M66" s="519"/>
      <c r="N66" s="519"/>
      <c r="O66" s="521"/>
      <c r="P66" s="522"/>
      <c r="Q66" s="523"/>
      <c r="R66" s="523"/>
      <c r="S66" s="523"/>
      <c r="T66" s="523"/>
      <c r="U66" s="524"/>
      <c r="V66" s="523"/>
      <c r="W66" s="525"/>
      <c r="X66" s="523"/>
      <c r="Y66" s="523"/>
      <c r="Z66" s="523"/>
      <c r="AA66" s="526"/>
      <c r="AB66" s="168"/>
      <c r="AC66" s="168"/>
      <c r="AD66" s="168"/>
      <c r="AE66" s="168"/>
      <c r="AF66" s="168"/>
      <c r="AG66" s="168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</row>
    <row r="67" spans="1:115" s="527" customFormat="1" ht="12" customHeight="1" x14ac:dyDescent="0.25">
      <c r="A67" s="511">
        <v>44712</v>
      </c>
      <c r="B67" s="512" t="s">
        <v>450</v>
      </c>
      <c r="C67" s="513" t="s">
        <v>145</v>
      </c>
      <c r="D67" s="514">
        <v>411.27</v>
      </c>
      <c r="E67" s="515"/>
      <c r="F67" s="516"/>
      <c r="G67" s="517">
        <v>411.27</v>
      </c>
      <c r="H67" s="518"/>
      <c r="I67" s="519"/>
      <c r="J67" s="519"/>
      <c r="K67" s="520"/>
      <c r="L67" s="519"/>
      <c r="M67" s="519"/>
      <c r="N67" s="519"/>
      <c r="O67" s="521"/>
      <c r="P67" s="522"/>
      <c r="Q67" s="523"/>
      <c r="R67" s="523"/>
      <c r="S67" s="523"/>
      <c r="T67" s="523"/>
      <c r="U67" s="524"/>
      <c r="V67" s="523"/>
      <c r="W67" s="525"/>
      <c r="X67" s="523"/>
      <c r="Y67" s="523"/>
      <c r="Z67" s="523"/>
      <c r="AA67" s="526"/>
      <c r="AB67" s="168"/>
      <c r="AC67" s="168"/>
      <c r="AD67" s="168"/>
      <c r="AE67" s="168"/>
      <c r="AF67" s="168"/>
      <c r="AG67" s="168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</row>
    <row r="68" spans="1:115" s="170" customFormat="1" ht="12" customHeight="1" x14ac:dyDescent="0.25">
      <c r="A68" s="273">
        <v>44712</v>
      </c>
      <c r="B68" s="231" t="s">
        <v>215</v>
      </c>
      <c r="C68" s="274" t="s">
        <v>145</v>
      </c>
      <c r="D68" s="285"/>
      <c r="E68" s="218">
        <v>60</v>
      </c>
      <c r="F68" s="219"/>
      <c r="G68" s="286"/>
      <c r="H68" s="304"/>
      <c r="I68" s="185"/>
      <c r="J68" s="185"/>
      <c r="K68" s="186"/>
      <c r="L68" s="185"/>
      <c r="M68" s="185"/>
      <c r="N68" s="185"/>
      <c r="O68" s="305"/>
      <c r="P68" s="318"/>
      <c r="Q68" s="191"/>
      <c r="R68" s="191"/>
      <c r="S68" s="191"/>
      <c r="T68" s="191"/>
      <c r="U68" s="232"/>
      <c r="V68" s="191">
        <v>60</v>
      </c>
      <c r="W68" s="192"/>
      <c r="X68" s="191"/>
      <c r="Y68" s="191"/>
      <c r="Z68" s="191"/>
      <c r="AA68" s="319"/>
      <c r="AB68" s="168"/>
      <c r="AC68" s="168"/>
      <c r="AD68" s="168"/>
      <c r="AE68" s="168"/>
      <c r="AF68" s="168"/>
      <c r="AG68" s="168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</row>
    <row r="69" spans="1:115" s="9" customFormat="1" ht="11" thickBot="1" x14ac:dyDescent="0.3">
      <c r="A69" s="277" t="s">
        <v>25</v>
      </c>
      <c r="B69" s="278"/>
      <c r="C69" s="279"/>
      <c r="D69" s="289">
        <f t="shared" ref="D69:AA69" si="0">SUM(D6:D68)</f>
        <v>3838.91</v>
      </c>
      <c r="E69" s="290">
        <f t="shared" si="0"/>
        <v>503.88000000000005</v>
      </c>
      <c r="F69" s="291">
        <f t="shared" si="0"/>
        <v>878</v>
      </c>
      <c r="G69" s="292">
        <f t="shared" si="0"/>
        <v>880</v>
      </c>
      <c r="H69" s="289">
        <f t="shared" si="0"/>
        <v>27.3</v>
      </c>
      <c r="I69" s="290">
        <f t="shared" si="0"/>
        <v>2150.64</v>
      </c>
      <c r="J69" s="290">
        <f t="shared" si="0"/>
        <v>0</v>
      </c>
      <c r="K69" s="290">
        <f t="shared" si="0"/>
        <v>1678.4</v>
      </c>
      <c r="L69" s="290">
        <f t="shared" si="0"/>
        <v>0</v>
      </c>
      <c r="M69" s="290">
        <f t="shared" si="0"/>
        <v>0</v>
      </c>
      <c r="N69" s="290">
        <f t="shared" si="0"/>
        <v>0</v>
      </c>
      <c r="O69" s="308">
        <f t="shared" si="0"/>
        <v>0</v>
      </c>
      <c r="P69" s="322">
        <f t="shared" si="0"/>
        <v>0</v>
      </c>
      <c r="Q69" s="323">
        <f t="shared" si="0"/>
        <v>11.5</v>
      </c>
      <c r="R69" s="323">
        <f t="shared" si="0"/>
        <v>0</v>
      </c>
      <c r="S69" s="323">
        <f t="shared" si="0"/>
        <v>119.78</v>
      </c>
      <c r="T69" s="323">
        <f t="shared" si="0"/>
        <v>0</v>
      </c>
      <c r="U69" s="323">
        <f t="shared" si="0"/>
        <v>0</v>
      </c>
      <c r="V69" s="323">
        <f t="shared" si="0"/>
        <v>381.59000000000003</v>
      </c>
      <c r="W69" s="323">
        <f t="shared" si="0"/>
        <v>10.44</v>
      </c>
      <c r="X69" s="323">
        <f t="shared" si="0"/>
        <v>0</v>
      </c>
      <c r="Y69" s="323">
        <f t="shared" si="0"/>
        <v>0</v>
      </c>
      <c r="Z69" s="323">
        <f t="shared" si="0"/>
        <v>0</v>
      </c>
      <c r="AA69" s="324">
        <f t="shared" si="0"/>
        <v>0</v>
      </c>
      <c r="AB69" s="37"/>
      <c r="AC69" s="37"/>
      <c r="AD69" s="37"/>
      <c r="AE69" s="37"/>
      <c r="AF69" s="37"/>
      <c r="AG69" s="37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</row>
    <row r="70" spans="1:115" s="38" customFormat="1" ht="11.5" thickTop="1" thickBot="1" x14ac:dyDescent="0.3">
      <c r="A70" s="326"/>
      <c r="B70" s="327"/>
      <c r="C70" s="328"/>
      <c r="D70" s="336"/>
      <c r="E70" s="337"/>
      <c r="F70" s="338"/>
      <c r="G70" s="339"/>
      <c r="H70" s="353"/>
      <c r="I70" s="338"/>
      <c r="J70" s="338"/>
      <c r="K70" s="354"/>
      <c r="L70" s="338"/>
      <c r="M70" s="338"/>
      <c r="N70" s="355"/>
      <c r="O70" s="339"/>
      <c r="P70" s="372"/>
      <c r="Q70" s="373"/>
      <c r="R70" s="373"/>
      <c r="S70" s="373"/>
      <c r="T70" s="374"/>
      <c r="U70" s="373"/>
      <c r="V70" s="373"/>
      <c r="W70" s="375"/>
      <c r="X70" s="376"/>
      <c r="Y70" s="376"/>
      <c r="Z70" s="376"/>
      <c r="AA70" s="377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</row>
    <row r="71" spans="1:115" s="6" customFormat="1" ht="53.5" thickTop="1" thickBot="1" x14ac:dyDescent="0.3">
      <c r="A71" s="329" t="s">
        <v>1</v>
      </c>
      <c r="B71" s="12" t="s">
        <v>2</v>
      </c>
      <c r="C71" s="330"/>
      <c r="D71" s="340" t="s">
        <v>3</v>
      </c>
      <c r="E71" s="233"/>
      <c r="F71" s="233" t="s">
        <v>4</v>
      </c>
      <c r="G71" s="341"/>
      <c r="H71" s="356" t="s">
        <v>5</v>
      </c>
      <c r="I71" s="13" t="s">
        <v>6</v>
      </c>
      <c r="J71" s="13" t="s">
        <v>7</v>
      </c>
      <c r="K71" s="14" t="s">
        <v>8</v>
      </c>
      <c r="L71" s="15" t="s">
        <v>9</v>
      </c>
      <c r="M71" s="14" t="s">
        <v>10</v>
      </c>
      <c r="N71" s="14" t="s">
        <v>11</v>
      </c>
      <c r="O71" s="357" t="s">
        <v>12</v>
      </c>
      <c r="P71" s="293" t="s">
        <v>13</v>
      </c>
      <c r="Q71" s="297" t="s">
        <v>98</v>
      </c>
      <c r="R71" s="309" t="s">
        <v>14</v>
      </c>
      <c r="S71" s="310" t="s">
        <v>15</v>
      </c>
      <c r="T71" s="311" t="s">
        <v>16</v>
      </c>
      <c r="U71" s="297" t="s">
        <v>17</v>
      </c>
      <c r="V71" s="297" t="s">
        <v>18</v>
      </c>
      <c r="W71" s="294" t="s">
        <v>63</v>
      </c>
      <c r="X71" s="312" t="s">
        <v>19</v>
      </c>
      <c r="Y71" s="297" t="s">
        <v>65</v>
      </c>
      <c r="Z71" s="297" t="s">
        <v>102</v>
      </c>
      <c r="AA71" s="298" t="s">
        <v>104</v>
      </c>
    </row>
    <row r="72" spans="1:115" s="6" customFormat="1" ht="11" thickBot="1" x14ac:dyDescent="0.3">
      <c r="A72" s="331"/>
      <c r="B72" s="16"/>
      <c r="C72" s="332"/>
      <c r="D72" s="342" t="s">
        <v>22</v>
      </c>
      <c r="E72" s="39" t="s">
        <v>23</v>
      </c>
      <c r="F72" s="16" t="s">
        <v>22</v>
      </c>
      <c r="G72" s="343" t="s">
        <v>23</v>
      </c>
      <c r="H72" s="331" t="s">
        <v>22</v>
      </c>
      <c r="I72" s="16" t="s">
        <v>22</v>
      </c>
      <c r="J72" s="16" t="s">
        <v>22</v>
      </c>
      <c r="K72" s="17" t="s">
        <v>22</v>
      </c>
      <c r="L72" s="18" t="s">
        <v>22</v>
      </c>
      <c r="M72" s="19" t="s">
        <v>22</v>
      </c>
      <c r="N72" s="20"/>
      <c r="O72" s="358" t="s">
        <v>22</v>
      </c>
      <c r="P72" s="331" t="s">
        <v>23</v>
      </c>
      <c r="Q72" s="16" t="s">
        <v>23</v>
      </c>
      <c r="R72" s="18" t="s">
        <v>23</v>
      </c>
      <c r="S72" s="18" t="s">
        <v>23</v>
      </c>
      <c r="T72" s="16" t="s">
        <v>23</v>
      </c>
      <c r="U72" s="16" t="s">
        <v>23</v>
      </c>
      <c r="V72" s="16" t="s">
        <v>23</v>
      </c>
      <c r="W72" s="19" t="s">
        <v>23</v>
      </c>
      <c r="X72" s="16" t="s">
        <v>23</v>
      </c>
      <c r="Y72" s="16" t="s">
        <v>23</v>
      </c>
      <c r="Z72" s="16" t="s">
        <v>23</v>
      </c>
      <c r="AA72" s="378" t="s">
        <v>23</v>
      </c>
    </row>
    <row r="73" spans="1:115" s="21" customFormat="1" ht="11" thickBot="1" x14ac:dyDescent="0.3">
      <c r="A73" s="333"/>
      <c r="B73" s="334"/>
      <c r="C73" s="335"/>
      <c r="D73" s="344">
        <f t="shared" ref="D73:AA73" si="1">SUM(D5:D68)</f>
        <v>14408.900000000005</v>
      </c>
      <c r="E73" s="345">
        <f t="shared" si="1"/>
        <v>503.88000000000005</v>
      </c>
      <c r="F73" s="345">
        <f t="shared" si="1"/>
        <v>940.95</v>
      </c>
      <c r="G73" s="346">
        <f t="shared" si="1"/>
        <v>880</v>
      </c>
      <c r="H73" s="359">
        <f t="shared" si="1"/>
        <v>27.3</v>
      </c>
      <c r="I73" s="360">
        <f t="shared" si="1"/>
        <v>2150.64</v>
      </c>
      <c r="J73" s="360">
        <f t="shared" si="1"/>
        <v>0</v>
      </c>
      <c r="K73" s="360">
        <f t="shared" si="1"/>
        <v>1678.4</v>
      </c>
      <c r="L73" s="360">
        <f t="shared" si="1"/>
        <v>0</v>
      </c>
      <c r="M73" s="360">
        <f t="shared" si="1"/>
        <v>0</v>
      </c>
      <c r="N73" s="360">
        <f t="shared" si="1"/>
        <v>0</v>
      </c>
      <c r="O73" s="361">
        <f t="shared" si="1"/>
        <v>10632.940000000004</v>
      </c>
      <c r="P73" s="359">
        <f t="shared" si="1"/>
        <v>0</v>
      </c>
      <c r="Q73" s="360">
        <f t="shared" si="1"/>
        <v>11.5</v>
      </c>
      <c r="R73" s="360">
        <f t="shared" si="1"/>
        <v>0</v>
      </c>
      <c r="S73" s="360">
        <f t="shared" si="1"/>
        <v>119.78</v>
      </c>
      <c r="T73" s="360">
        <f t="shared" si="1"/>
        <v>0</v>
      </c>
      <c r="U73" s="360">
        <f t="shared" si="1"/>
        <v>0</v>
      </c>
      <c r="V73" s="360">
        <f t="shared" si="1"/>
        <v>381.59000000000003</v>
      </c>
      <c r="W73" s="360">
        <f t="shared" si="1"/>
        <v>10.44</v>
      </c>
      <c r="X73" s="360">
        <f t="shared" si="1"/>
        <v>0</v>
      </c>
      <c r="Y73" s="360">
        <f t="shared" si="1"/>
        <v>0</v>
      </c>
      <c r="Z73" s="360">
        <f t="shared" si="1"/>
        <v>0</v>
      </c>
      <c r="AA73" s="361">
        <f t="shared" si="1"/>
        <v>0</v>
      </c>
    </row>
    <row r="74" spans="1:115" s="6" customFormat="1" ht="11.5" thickTop="1" thickBot="1" x14ac:dyDescent="0.3">
      <c r="A74" s="347"/>
      <c r="B74" s="348" t="s">
        <v>26</v>
      </c>
      <c r="C74" s="349"/>
      <c r="D74" s="350">
        <f>SUM(D73-E73)</f>
        <v>13905.020000000006</v>
      </c>
      <c r="E74" s="351"/>
      <c r="F74" s="350">
        <f>SUM(F73-G73)</f>
        <v>60.950000000000045</v>
      </c>
      <c r="G74" s="352"/>
      <c r="H74" s="363"/>
      <c r="I74" s="379"/>
      <c r="J74" s="379" t="s">
        <v>20</v>
      </c>
      <c r="K74" s="365"/>
      <c r="L74" s="364"/>
      <c r="M74" s="364" t="s">
        <v>20</v>
      </c>
      <c r="N74" s="366"/>
      <c r="O74" s="367" t="s">
        <v>20</v>
      </c>
      <c r="P74" s="363"/>
      <c r="Q74" s="364"/>
      <c r="R74" s="364" t="s">
        <v>20</v>
      </c>
      <c r="S74" s="364" t="s">
        <v>20</v>
      </c>
      <c r="T74" s="364" t="s">
        <v>20</v>
      </c>
      <c r="U74" s="371"/>
      <c r="V74" s="364" t="s">
        <v>20</v>
      </c>
      <c r="W74" s="371"/>
      <c r="X74" s="364" t="s">
        <v>20</v>
      </c>
      <c r="Y74" s="364" t="s">
        <v>20</v>
      </c>
      <c r="Z74" s="364" t="s">
        <v>20</v>
      </c>
      <c r="AA74" s="352" t="s">
        <v>20</v>
      </c>
    </row>
    <row r="75" spans="1:115" s="6" customFormat="1" ht="13.5" thickTop="1" thickBot="1" x14ac:dyDescent="0.3">
      <c r="A75" s="2"/>
      <c r="B75" s="2"/>
      <c r="C75" s="55"/>
      <c r="D75" s="35"/>
      <c r="E75" s="34"/>
      <c r="F75" s="4"/>
      <c r="I75" s="546" t="s">
        <v>27</v>
      </c>
      <c r="J75" s="547"/>
      <c r="K75" s="362">
        <f>SUM(H73:O73)</f>
        <v>14489.280000000004</v>
      </c>
      <c r="O75" s="22"/>
      <c r="P75" s="4"/>
      <c r="Q75" s="6" t="s">
        <v>28</v>
      </c>
      <c r="R75" s="368" t="s">
        <v>20</v>
      </c>
      <c r="S75" s="369">
        <f>SUM(P73:AA73)</f>
        <v>523.31000000000006</v>
      </c>
      <c r="T75" s="370"/>
    </row>
    <row r="76" spans="1:115" s="6" customFormat="1" ht="11" thickBot="1" x14ac:dyDescent="0.3">
      <c r="A76" s="2"/>
      <c r="B76" s="23" t="s">
        <v>29</v>
      </c>
      <c r="C76" s="23"/>
      <c r="D76" s="40" t="s">
        <v>20</v>
      </c>
      <c r="E76" s="193">
        <f>SUM(D73-E73+F73-G73)</f>
        <v>13965.970000000007</v>
      </c>
      <c r="F76" s="25" t="s">
        <v>49</v>
      </c>
      <c r="H76" s="26"/>
      <c r="I76" s="46"/>
      <c r="J76" s="46"/>
      <c r="K76" s="27"/>
      <c r="M76" s="7"/>
      <c r="N76" s="46"/>
      <c r="O76" s="24">
        <f>E73</f>
        <v>503.88000000000005</v>
      </c>
      <c r="P76" s="540">
        <f>SUM(K75-S75)</f>
        <v>13965.970000000005</v>
      </c>
      <c r="Q76" s="540"/>
      <c r="R76" s="541" t="s">
        <v>30</v>
      </c>
      <c r="S76" s="541"/>
      <c r="T76" s="541"/>
    </row>
    <row r="77" spans="1:115" s="6" customFormat="1" ht="10.5" x14ac:dyDescent="0.25">
      <c r="A77" s="1"/>
      <c r="B77" s="2"/>
      <c r="C77" s="55"/>
      <c r="D77" s="28"/>
      <c r="E77" s="34"/>
      <c r="F77" s="4"/>
      <c r="G77" s="3"/>
      <c r="H77" s="3"/>
      <c r="I77" s="3"/>
      <c r="J77" s="3"/>
      <c r="K77" s="5"/>
      <c r="L77" s="3"/>
      <c r="M77" s="3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115" s="6" customFormat="1" x14ac:dyDescent="0.25">
      <c r="A78" s="1"/>
      <c r="B78" s="2"/>
      <c r="C78" s="2"/>
      <c r="D78" s="542" t="s">
        <v>52</v>
      </c>
      <c r="E78" s="543"/>
      <c r="F78" s="194">
        <f>62.93-24.28</f>
        <v>38.65</v>
      </c>
      <c r="G78" s="197">
        <f>13614.82+(100)+(190.2)</f>
        <v>13905.02</v>
      </c>
      <c r="H78" s="52" t="s">
        <v>54</v>
      </c>
      <c r="I78" s="57"/>
      <c r="J78" s="3"/>
      <c r="K78" s="5"/>
      <c r="L78" s="3"/>
      <c r="M78" s="3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115" s="6" customFormat="1" x14ac:dyDescent="0.25">
      <c r="A79" s="1"/>
      <c r="B79" s="2"/>
      <c r="C79" s="2"/>
      <c r="D79" s="544" t="s">
        <v>34</v>
      </c>
      <c r="E79" s="545"/>
      <c r="F79" s="195">
        <v>22.3</v>
      </c>
      <c r="G79" s="197">
        <f>D74</f>
        <v>13905.020000000006</v>
      </c>
      <c r="H79" s="52" t="s">
        <v>60</v>
      </c>
      <c r="I79" s="57"/>
      <c r="J79" s="3"/>
      <c r="K79" s="5"/>
      <c r="L79" s="3"/>
      <c r="M79" s="3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115" s="6" customFormat="1" x14ac:dyDescent="0.25">
      <c r="A80" s="1"/>
      <c r="B80" s="2"/>
      <c r="C80" s="2"/>
      <c r="D80" s="544" t="s">
        <v>85</v>
      </c>
      <c r="E80" s="545"/>
      <c r="F80" s="194">
        <f>0</f>
        <v>0</v>
      </c>
      <c r="G80" s="198">
        <f>G78-G79</f>
        <v>0</v>
      </c>
      <c r="H80" s="53" t="s">
        <v>50</v>
      </c>
      <c r="I80" s="3"/>
      <c r="J80" s="3"/>
      <c r="K80" s="5"/>
      <c r="L80" s="3"/>
      <c r="M80" s="3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s="6" customFormat="1" x14ac:dyDescent="0.25">
      <c r="A81" s="1"/>
      <c r="B81" s="2"/>
      <c r="C81" s="2"/>
      <c r="D81" s="533" t="s">
        <v>50</v>
      </c>
      <c r="E81" s="534"/>
      <c r="F81" s="196">
        <f>F78+F79+F80-F74</f>
        <v>0</v>
      </c>
      <c r="G81" s="84"/>
      <c r="H81" s="85"/>
      <c r="I81" s="3"/>
      <c r="J81" s="3"/>
      <c r="K81" s="5"/>
      <c r="L81" s="3"/>
      <c r="M81" s="3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</sheetData>
  <sheetProtection selectLockedCells="1" selectUnlockedCells="1"/>
  <mergeCells count="10">
    <mergeCell ref="R76:T76"/>
    <mergeCell ref="D78:E78"/>
    <mergeCell ref="D79:E79"/>
    <mergeCell ref="D80:E80"/>
    <mergeCell ref="I75:J75"/>
    <mergeCell ref="A1:B1"/>
    <mergeCell ref="D3:E3"/>
    <mergeCell ref="F3:G3"/>
    <mergeCell ref="D81:E81"/>
    <mergeCell ref="P76:Q76"/>
  </mergeCells>
  <printOptions horizontalCentered="1"/>
  <pageMargins left="0.39374999999999999" right="0.39374999999999999" top="0.51180555555555551" bottom="0.51180555555555551" header="0.51180555555555551" footer="0.51180555555555551"/>
  <pageSetup paperSize="9" scale="80" firstPageNumber="0" orientation="landscape" horizontalDpi="300" verticalDpi="300" r:id="rId1"/>
  <headerFooter alignWithMargins="0">
    <oddHeader>&amp;CINTERGROUPE PARIS-BANLIEUE - IGPB
Trésorerie 2017&amp;R&amp;D</oddHeader>
    <oddFooter>&amp;CMAI 2017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I1121"/>
  <sheetViews>
    <sheetView showGridLines="0" workbookViewId="0">
      <selection activeCell="E31" sqref="E31"/>
    </sheetView>
  </sheetViews>
  <sheetFormatPr baseColWidth="10" defaultColWidth="10.81640625" defaultRowHeight="10.5" x14ac:dyDescent="0.25"/>
  <cols>
    <col min="1" max="1" width="10.81640625" style="58"/>
    <col min="2" max="2" width="26.5429687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10">
        <v>44716</v>
      </c>
      <c r="B2" s="56" t="s">
        <v>454</v>
      </c>
      <c r="C2" s="205"/>
      <c r="D2" s="204">
        <v>37.5</v>
      </c>
      <c r="E2" s="204"/>
      <c r="F2" s="204">
        <f t="shared" ref="F2:F14" si="0">SUM(C2:E2)</f>
        <v>37.5</v>
      </c>
      <c r="G2" s="211" t="s">
        <v>145</v>
      </c>
    </row>
    <row r="3" spans="1:35" ht="13" x14ac:dyDescent="0.3">
      <c r="A3" s="210">
        <v>44716</v>
      </c>
      <c r="B3" s="56" t="s">
        <v>455</v>
      </c>
      <c r="C3" s="205"/>
      <c r="D3" s="204"/>
      <c r="E3" s="204">
        <v>15</v>
      </c>
      <c r="F3" s="204">
        <f>SUM(C3:E3)</f>
        <v>15</v>
      </c>
      <c r="G3" s="211" t="s">
        <v>145</v>
      </c>
    </row>
    <row r="4" spans="1:35" ht="13" x14ac:dyDescent="0.3">
      <c r="A4" s="210">
        <v>44716</v>
      </c>
      <c r="B4" s="56" t="s">
        <v>456</v>
      </c>
      <c r="C4" s="205"/>
      <c r="D4" s="204"/>
      <c r="E4" s="204">
        <v>15</v>
      </c>
      <c r="F4" s="202">
        <f t="shared" si="0"/>
        <v>15</v>
      </c>
      <c r="G4" s="211" t="s">
        <v>145</v>
      </c>
    </row>
    <row r="5" spans="1:35" ht="13" x14ac:dyDescent="0.3">
      <c r="A5" s="210">
        <v>44716</v>
      </c>
      <c r="B5" s="56" t="s">
        <v>457</v>
      </c>
      <c r="C5" s="205"/>
      <c r="D5" s="204">
        <v>13.5</v>
      </c>
      <c r="E5" s="204"/>
      <c r="F5" s="202">
        <f t="shared" si="0"/>
        <v>13.5</v>
      </c>
      <c r="G5" s="211" t="s">
        <v>145</v>
      </c>
    </row>
    <row r="6" spans="1:35" ht="13" x14ac:dyDescent="0.3">
      <c r="A6" s="210">
        <v>44716</v>
      </c>
      <c r="B6" s="56" t="s">
        <v>458</v>
      </c>
      <c r="C6" s="205"/>
      <c r="D6" s="204"/>
      <c r="E6" s="204">
        <v>12</v>
      </c>
      <c r="F6" s="202">
        <f t="shared" si="0"/>
        <v>12</v>
      </c>
      <c r="G6" s="211" t="s">
        <v>145</v>
      </c>
    </row>
    <row r="7" spans="1:35" ht="13" x14ac:dyDescent="0.3">
      <c r="A7" s="210">
        <v>44726</v>
      </c>
      <c r="B7" s="56" t="s">
        <v>463</v>
      </c>
      <c r="C7" s="205"/>
      <c r="D7" s="204">
        <v>54</v>
      </c>
      <c r="E7" s="204"/>
      <c r="F7" s="202">
        <f t="shared" si="0"/>
        <v>54</v>
      </c>
      <c r="G7" s="211" t="s">
        <v>145</v>
      </c>
    </row>
    <row r="8" spans="1:35" ht="13" x14ac:dyDescent="0.3">
      <c r="A8" s="210">
        <v>44726</v>
      </c>
      <c r="B8" s="56" t="s">
        <v>464</v>
      </c>
      <c r="C8" s="205"/>
      <c r="D8" s="204"/>
      <c r="E8" s="204">
        <v>125</v>
      </c>
      <c r="F8" s="202">
        <f t="shared" si="0"/>
        <v>125</v>
      </c>
      <c r="G8" s="211" t="s">
        <v>145</v>
      </c>
    </row>
    <row r="9" spans="1:35" ht="13" x14ac:dyDescent="0.3">
      <c r="A9" s="210">
        <v>44726</v>
      </c>
      <c r="B9" s="56" t="s">
        <v>465</v>
      </c>
      <c r="C9" s="205"/>
      <c r="D9" s="204">
        <v>24</v>
      </c>
      <c r="E9" s="205"/>
      <c r="F9" s="202">
        <f t="shared" si="0"/>
        <v>24</v>
      </c>
      <c r="G9" s="211" t="s">
        <v>145</v>
      </c>
    </row>
    <row r="10" spans="1:35" s="162" customFormat="1" ht="13" x14ac:dyDescent="0.3">
      <c r="A10" s="210">
        <v>44726</v>
      </c>
      <c r="B10" s="56" t="s">
        <v>466</v>
      </c>
      <c r="C10" s="205"/>
      <c r="D10" s="200"/>
      <c r="E10" s="204">
        <v>15</v>
      </c>
      <c r="F10" s="202">
        <f t="shared" si="0"/>
        <v>15</v>
      </c>
      <c r="G10" s="211" t="s">
        <v>145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" customFormat="1" ht="13" x14ac:dyDescent="0.3">
      <c r="A11" s="210">
        <v>44726</v>
      </c>
      <c r="B11" s="56" t="s">
        <v>467</v>
      </c>
      <c r="C11" s="205"/>
      <c r="D11" s="200"/>
      <c r="E11" s="204">
        <v>15</v>
      </c>
      <c r="F11" s="202">
        <f t="shared" si="0"/>
        <v>15</v>
      </c>
      <c r="G11" s="211" t="s">
        <v>145</v>
      </c>
    </row>
    <row r="12" spans="1:35" s="3" customFormat="1" ht="13" x14ac:dyDescent="0.3">
      <c r="A12" s="210">
        <v>44731</v>
      </c>
      <c r="B12" s="56" t="s">
        <v>473</v>
      </c>
      <c r="C12" s="205">
        <v>1093.3499999999999</v>
      </c>
      <c r="D12" s="200"/>
      <c r="E12" s="204"/>
      <c r="F12" s="202">
        <f t="shared" si="0"/>
        <v>1093.3499999999999</v>
      </c>
      <c r="G12" s="211" t="s">
        <v>145</v>
      </c>
    </row>
    <row r="13" spans="1:35" s="3" customFormat="1" ht="13" x14ac:dyDescent="0.3">
      <c r="A13" s="210">
        <v>44736</v>
      </c>
      <c r="B13" s="56" t="s">
        <v>477</v>
      </c>
      <c r="C13" s="205"/>
      <c r="D13" s="200">
        <v>129</v>
      </c>
      <c r="E13" s="204"/>
      <c r="F13" s="202">
        <f t="shared" si="0"/>
        <v>129</v>
      </c>
      <c r="G13" s="211" t="s">
        <v>145</v>
      </c>
    </row>
    <row r="14" spans="1:35" s="3" customFormat="1" ht="13" x14ac:dyDescent="0.3">
      <c r="A14" s="210">
        <v>44736</v>
      </c>
      <c r="B14" s="56" t="s">
        <v>478</v>
      </c>
      <c r="C14" s="205"/>
      <c r="D14" s="200"/>
      <c r="E14" s="204">
        <v>30</v>
      </c>
      <c r="F14" s="202">
        <f t="shared" si="0"/>
        <v>30</v>
      </c>
      <c r="G14" s="211" t="s">
        <v>145</v>
      </c>
    </row>
    <row r="15" spans="1:35" ht="13" x14ac:dyDescent="0.3">
      <c r="A15" s="210">
        <v>44736</v>
      </c>
      <c r="B15" s="56" t="s">
        <v>479</v>
      </c>
      <c r="C15" s="205"/>
      <c r="D15" s="204"/>
      <c r="E15" s="204">
        <v>237</v>
      </c>
      <c r="F15" s="202">
        <f t="shared" ref="F15:F18" si="1">SUM(C15:E15)</f>
        <v>237</v>
      </c>
      <c r="G15" s="211" t="s">
        <v>145</v>
      </c>
    </row>
    <row r="16" spans="1:35" ht="13" x14ac:dyDescent="0.3">
      <c r="A16" s="210">
        <v>44736</v>
      </c>
      <c r="B16" s="56" t="s">
        <v>480</v>
      </c>
      <c r="C16" s="205"/>
      <c r="D16" s="204">
        <v>26</v>
      </c>
      <c r="E16" s="205"/>
      <c r="F16" s="202">
        <f t="shared" si="1"/>
        <v>26</v>
      </c>
      <c r="G16" s="211" t="s">
        <v>145</v>
      </c>
    </row>
    <row r="17" spans="1:35" s="162" customFormat="1" ht="13" x14ac:dyDescent="0.3">
      <c r="A17" s="210">
        <v>44736</v>
      </c>
      <c r="B17" s="56" t="s">
        <v>481</v>
      </c>
      <c r="C17" s="205"/>
      <c r="D17" s="200">
        <v>36.4</v>
      </c>
      <c r="E17" s="204"/>
      <c r="F17" s="202">
        <f t="shared" si="1"/>
        <v>36.4</v>
      </c>
      <c r="G17" s="211" t="s">
        <v>145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3" customFormat="1" ht="13" x14ac:dyDescent="0.3">
      <c r="A18" s="210">
        <v>44736</v>
      </c>
      <c r="B18" s="56" t="s">
        <v>482</v>
      </c>
      <c r="C18" s="205"/>
      <c r="D18" s="200"/>
      <c r="E18" s="204">
        <v>15</v>
      </c>
      <c r="F18" s="202">
        <f t="shared" si="1"/>
        <v>15</v>
      </c>
      <c r="G18" s="211" t="s">
        <v>145</v>
      </c>
    </row>
    <row r="19" spans="1:35" s="3" customFormat="1" ht="13" thickBot="1" x14ac:dyDescent="0.3">
      <c r="A19" s="212"/>
      <c r="B19" s="213" t="s">
        <v>0</v>
      </c>
      <c r="C19" s="214">
        <f>SUM(C2:C18)</f>
        <v>1093.3499999999999</v>
      </c>
      <c r="D19" s="214">
        <f>SUM(D2:D18)</f>
        <v>320.39999999999998</v>
      </c>
      <c r="E19" s="214">
        <f>SUM(E2:E18)</f>
        <v>479</v>
      </c>
      <c r="F19" s="215">
        <f>SUM(C19:E19)</f>
        <v>1892.75</v>
      </c>
      <c r="G19" s="216"/>
    </row>
    <row r="20" spans="1:35" s="3" customFormat="1" ht="11" thickTop="1" x14ac:dyDescent="0.25">
      <c r="D20" s="1"/>
      <c r="E20" s="1"/>
    </row>
    <row r="21" spans="1:35" s="3" customFormat="1" x14ac:dyDescent="0.25">
      <c r="D21" s="1"/>
      <c r="E21" s="1"/>
    </row>
    <row r="22" spans="1:35" s="3" customFormat="1" x14ac:dyDescent="0.25">
      <c r="D22" s="1"/>
      <c r="E22" s="1"/>
    </row>
    <row r="23" spans="1:35" s="3" customFormat="1" x14ac:dyDescent="0.25">
      <c r="D23" s="1"/>
      <c r="E23" s="1"/>
    </row>
    <row r="24" spans="1:35" s="3" customFormat="1" x14ac:dyDescent="0.25">
      <c r="D24" s="1"/>
      <c r="E24" s="1"/>
    </row>
    <row r="25" spans="1:35" s="3" customFormat="1" x14ac:dyDescent="0.25">
      <c r="D25" s="1"/>
      <c r="E25" s="1"/>
    </row>
    <row r="26" spans="1:35" s="3" customFormat="1" x14ac:dyDescent="0.25">
      <c r="D26" s="1"/>
      <c r="E26" s="1"/>
    </row>
    <row r="27" spans="1:35" s="3" customFormat="1" x14ac:dyDescent="0.25">
      <c r="D27" s="1"/>
      <c r="E27" s="1"/>
    </row>
    <row r="28" spans="1:35" s="3" customFormat="1" x14ac:dyDescent="0.25">
      <c r="D28" s="1"/>
      <c r="E28" s="1"/>
    </row>
    <row r="29" spans="1:35" s="3" customFormat="1" x14ac:dyDescent="0.25">
      <c r="D29" s="1"/>
      <c r="E29" s="1"/>
    </row>
    <row r="30" spans="1:35" s="3" customFormat="1" x14ac:dyDescent="0.25">
      <c r="D30" s="1"/>
      <c r="E30" s="1"/>
    </row>
    <row r="31" spans="1:35" s="3" customFormat="1" x14ac:dyDescent="0.25">
      <c r="D31" s="1"/>
      <c r="E31" s="1"/>
    </row>
    <row r="32" spans="1:3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1125"/>
  <sheetViews>
    <sheetView showGridLines="0" workbookViewId="0">
      <selection activeCell="E29" sqref="E29"/>
    </sheetView>
  </sheetViews>
  <sheetFormatPr baseColWidth="10" defaultColWidth="10.81640625" defaultRowHeight="10.5" x14ac:dyDescent="0.25"/>
  <cols>
    <col min="1" max="1" width="10.81640625" style="58"/>
    <col min="2" max="2" width="23.90625" style="58" bestFit="1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" thickTop="1" x14ac:dyDescent="0.25">
      <c r="A1" s="206" t="s">
        <v>55</v>
      </c>
      <c r="B1" s="208"/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2.5" x14ac:dyDescent="0.25">
      <c r="A2" s="210">
        <v>44715</v>
      </c>
      <c r="B2" s="56" t="s">
        <v>453</v>
      </c>
      <c r="C2" s="199">
        <v>179.89</v>
      </c>
      <c r="D2" s="200"/>
      <c r="E2" s="201"/>
      <c r="F2" s="202">
        <f t="shared" ref="F2:F10" si="0">SUM(C2:E2)</f>
        <v>179.89</v>
      </c>
      <c r="G2" s="217" t="s">
        <v>145</v>
      </c>
    </row>
    <row r="3" spans="1:35" ht="12.5" x14ac:dyDescent="0.25">
      <c r="A3" s="210">
        <v>44716</v>
      </c>
      <c r="B3" s="56" t="s">
        <v>298</v>
      </c>
      <c r="C3" s="199">
        <v>40</v>
      </c>
      <c r="D3" s="200"/>
      <c r="E3" s="203"/>
      <c r="F3" s="202">
        <f t="shared" si="0"/>
        <v>40</v>
      </c>
      <c r="G3" s="217" t="s">
        <v>145</v>
      </c>
    </row>
    <row r="4" spans="1:35" ht="12.5" x14ac:dyDescent="0.25">
      <c r="A4" s="210">
        <v>44718</v>
      </c>
      <c r="B4" s="56" t="s">
        <v>459</v>
      </c>
      <c r="C4" s="199">
        <v>179</v>
      </c>
      <c r="D4" s="200"/>
      <c r="E4" s="203"/>
      <c r="F4" s="204">
        <f t="shared" si="0"/>
        <v>179</v>
      </c>
      <c r="G4" s="217" t="s">
        <v>145</v>
      </c>
    </row>
    <row r="5" spans="1:35" ht="12.5" x14ac:dyDescent="0.25">
      <c r="A5" s="210">
        <v>44718</v>
      </c>
      <c r="B5" s="56" t="s">
        <v>346</v>
      </c>
      <c r="C5" s="199">
        <v>75</v>
      </c>
      <c r="D5" s="200"/>
      <c r="E5" s="203"/>
      <c r="F5" s="204">
        <f t="shared" si="0"/>
        <v>75</v>
      </c>
      <c r="G5" s="217" t="s">
        <v>145</v>
      </c>
    </row>
    <row r="6" spans="1:35" ht="12.5" x14ac:dyDescent="0.25">
      <c r="A6" s="210">
        <v>44719</v>
      </c>
      <c r="B6" s="56" t="s">
        <v>283</v>
      </c>
      <c r="C6" s="199">
        <v>100</v>
      </c>
      <c r="D6" s="200"/>
      <c r="E6" s="203"/>
      <c r="F6" s="204">
        <f t="shared" si="0"/>
        <v>100</v>
      </c>
      <c r="G6" s="217" t="s">
        <v>145</v>
      </c>
    </row>
    <row r="7" spans="1:35" ht="12.5" x14ac:dyDescent="0.25">
      <c r="A7" s="210">
        <v>44726</v>
      </c>
      <c r="B7" s="56" t="s">
        <v>314</v>
      </c>
      <c r="C7" s="199"/>
      <c r="D7" s="200">
        <v>84</v>
      </c>
      <c r="E7" s="203"/>
      <c r="F7" s="204">
        <f t="shared" si="0"/>
        <v>84</v>
      </c>
      <c r="G7" s="217" t="s">
        <v>145</v>
      </c>
    </row>
    <row r="8" spans="1:35" ht="12.5" x14ac:dyDescent="0.25">
      <c r="A8" s="210">
        <v>44731</v>
      </c>
      <c r="B8" s="56" t="s">
        <v>471</v>
      </c>
      <c r="C8" s="199">
        <v>184.32</v>
      </c>
      <c r="D8" s="200"/>
      <c r="E8" s="203"/>
      <c r="F8" s="204">
        <f t="shared" si="0"/>
        <v>184.32</v>
      </c>
      <c r="G8" s="217" t="s">
        <v>145</v>
      </c>
    </row>
    <row r="9" spans="1:35" ht="12.5" x14ac:dyDescent="0.25">
      <c r="A9" s="210">
        <v>44731</v>
      </c>
      <c r="B9" s="56" t="s">
        <v>232</v>
      </c>
      <c r="C9" s="199">
        <v>50</v>
      </c>
      <c r="D9" s="200"/>
      <c r="E9" s="203"/>
      <c r="F9" s="204">
        <f t="shared" si="0"/>
        <v>50</v>
      </c>
      <c r="G9" s="217" t="s">
        <v>145</v>
      </c>
    </row>
    <row r="10" spans="1:35" ht="12.5" x14ac:dyDescent="0.25">
      <c r="A10" s="210">
        <v>44732</v>
      </c>
      <c r="B10" s="56" t="s">
        <v>475</v>
      </c>
      <c r="C10" s="199">
        <v>63</v>
      </c>
      <c r="D10" s="200"/>
      <c r="E10" s="203"/>
      <c r="F10" s="204">
        <f t="shared" si="0"/>
        <v>63</v>
      </c>
      <c r="G10" s="217" t="s">
        <v>145</v>
      </c>
    </row>
    <row r="11" spans="1:35" ht="12.5" x14ac:dyDescent="0.25">
      <c r="A11" s="210">
        <v>44737</v>
      </c>
      <c r="B11" s="56" t="s">
        <v>322</v>
      </c>
      <c r="C11" s="199"/>
      <c r="D11" s="200">
        <v>150</v>
      </c>
      <c r="E11" s="203"/>
      <c r="F11" s="204">
        <f t="shared" ref="F11:F14" si="1">SUM(C11:E11)</f>
        <v>150</v>
      </c>
      <c r="G11" s="217" t="s">
        <v>145</v>
      </c>
    </row>
    <row r="12" spans="1:35" ht="12.5" x14ac:dyDescent="0.25">
      <c r="A12" s="210">
        <v>44739</v>
      </c>
      <c r="B12" s="56" t="s">
        <v>436</v>
      </c>
      <c r="C12" s="199">
        <v>100.02</v>
      </c>
      <c r="D12" s="200"/>
      <c r="E12" s="203"/>
      <c r="F12" s="204">
        <f t="shared" si="1"/>
        <v>100.02</v>
      </c>
      <c r="G12" s="217" t="s">
        <v>145</v>
      </c>
    </row>
    <row r="13" spans="1:35" ht="12.5" x14ac:dyDescent="0.25">
      <c r="A13" s="210">
        <v>44739</v>
      </c>
      <c r="B13" s="56" t="s">
        <v>196</v>
      </c>
      <c r="C13" s="199">
        <v>60</v>
      </c>
      <c r="D13" s="200"/>
      <c r="E13" s="203"/>
      <c r="F13" s="204">
        <f t="shared" si="1"/>
        <v>60</v>
      </c>
      <c r="G13" s="217" t="s">
        <v>145</v>
      </c>
    </row>
    <row r="14" spans="1:35" ht="12.5" x14ac:dyDescent="0.25">
      <c r="A14" s="210">
        <v>44741</v>
      </c>
      <c r="B14" s="56" t="s">
        <v>484</v>
      </c>
      <c r="C14" s="199">
        <v>100</v>
      </c>
      <c r="D14" s="200"/>
      <c r="E14" s="203"/>
      <c r="F14" s="204">
        <f t="shared" si="1"/>
        <v>100</v>
      </c>
      <c r="G14" s="217" t="s">
        <v>145</v>
      </c>
    </row>
    <row r="15" spans="1:35" s="162" customFormat="1" ht="13" thickBot="1" x14ac:dyDescent="0.3">
      <c r="A15" s="212"/>
      <c r="B15" s="213" t="s">
        <v>0</v>
      </c>
      <c r="C15" s="214">
        <f>SUM(C2:C14)</f>
        <v>1131.23</v>
      </c>
      <c r="D15" s="214">
        <f>SUM(D2:D14)</f>
        <v>234</v>
      </c>
      <c r="E15" s="214">
        <f>SUM(E2:E14)</f>
        <v>0</v>
      </c>
      <c r="F15" s="215">
        <f>SUM(F2:F14)</f>
        <v>1365.23</v>
      </c>
      <c r="G15" s="2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3" customFormat="1" ht="11" thickTop="1" x14ac:dyDescent="0.25">
      <c r="D16" s="1"/>
      <c r="E16" s="1"/>
    </row>
    <row r="17" spans="4:5" s="3" customFormat="1" x14ac:dyDescent="0.25">
      <c r="D17" s="1"/>
      <c r="E17" s="1"/>
    </row>
    <row r="18" spans="4:5" s="3" customFormat="1" x14ac:dyDescent="0.25">
      <c r="D18" s="1"/>
      <c r="E18" s="1"/>
    </row>
    <row r="19" spans="4:5" s="3" customFormat="1" x14ac:dyDescent="0.25">
      <c r="D19" s="1"/>
      <c r="E19" s="1"/>
    </row>
    <row r="20" spans="4:5" s="3" customFormat="1" x14ac:dyDescent="0.25">
      <c r="D20" s="1"/>
      <c r="E20" s="1"/>
    </row>
    <row r="21" spans="4:5" s="3" customFormat="1" x14ac:dyDescent="0.25">
      <c r="D21" s="1"/>
      <c r="E21" s="1"/>
    </row>
    <row r="22" spans="4:5" s="3" customFormat="1" x14ac:dyDescent="0.25">
      <c r="D22" s="1"/>
      <c r="E22" s="1"/>
    </row>
    <row r="23" spans="4:5" s="3" customFormat="1" x14ac:dyDescent="0.25">
      <c r="D23" s="1"/>
      <c r="E23" s="1"/>
    </row>
    <row r="24" spans="4:5" s="3" customFormat="1" x14ac:dyDescent="0.25">
      <c r="D24" s="1"/>
      <c r="E24" s="1"/>
    </row>
    <row r="25" spans="4:5" s="3" customFormat="1" x14ac:dyDescent="0.25">
      <c r="D25" s="1"/>
      <c r="E25" s="1"/>
    </row>
    <row r="26" spans="4:5" s="3" customFormat="1" x14ac:dyDescent="0.25">
      <c r="D26" s="1"/>
      <c r="E26" s="1"/>
    </row>
    <row r="27" spans="4:5" s="3" customFormat="1" x14ac:dyDescent="0.25">
      <c r="D27" s="1"/>
      <c r="E27" s="1"/>
    </row>
    <row r="28" spans="4:5" s="3" customFormat="1" x14ac:dyDescent="0.25">
      <c r="D28" s="1"/>
      <c r="E28" s="1"/>
    </row>
    <row r="29" spans="4:5" s="3" customFormat="1" x14ac:dyDescent="0.25">
      <c r="D29" s="1"/>
      <c r="E29" s="1"/>
    </row>
    <row r="30" spans="4:5" s="3" customFormat="1" x14ac:dyDescent="0.25">
      <c r="D30" s="1"/>
      <c r="E30" s="1"/>
    </row>
    <row r="31" spans="4:5" s="3" customFormat="1" x14ac:dyDescent="0.25">
      <c r="D31" s="1"/>
      <c r="E31" s="1"/>
    </row>
    <row r="32" spans="4: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K66"/>
  <sheetViews>
    <sheetView showGridLines="0" topLeftCell="H27" zoomScale="84" zoomScaleNormal="84" workbookViewId="0">
      <selection activeCell="AA32" sqref="AA32"/>
    </sheetView>
  </sheetViews>
  <sheetFormatPr baseColWidth="10" defaultRowHeight="12.5" x14ac:dyDescent="0.25"/>
  <cols>
    <col min="1" max="1" width="9.81640625" customWidth="1"/>
    <col min="2" max="2" width="31.5429687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71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f>' 05 2022'!D74</f>
        <v>13905.020000000006</v>
      </c>
      <c r="E5" s="179"/>
      <c r="F5" s="180">
        <f>' 05 2022'!F74</f>
        <v>60.950000000000045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13965.970000000007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170" customFormat="1" ht="12" customHeight="1" x14ac:dyDescent="0.25">
      <c r="A6" s="271">
        <v>44713</v>
      </c>
      <c r="B6" s="222" t="s">
        <v>451</v>
      </c>
      <c r="C6" s="272" t="s">
        <v>145</v>
      </c>
      <c r="D6" s="283"/>
      <c r="E6" s="223"/>
      <c r="F6" s="224">
        <v>22.8</v>
      </c>
      <c r="G6" s="284"/>
      <c r="H6" s="302">
        <v>22.8</v>
      </c>
      <c r="I6" s="225"/>
      <c r="J6" s="225"/>
      <c r="K6" s="226"/>
      <c r="L6" s="225"/>
      <c r="M6" s="225"/>
      <c r="N6" s="225"/>
      <c r="O6" s="303"/>
      <c r="P6" s="316"/>
      <c r="Q6" s="227"/>
      <c r="R6" s="227"/>
      <c r="S6" s="227"/>
      <c r="T6" s="227"/>
      <c r="U6" s="228"/>
      <c r="V6" s="227"/>
      <c r="W6" s="229"/>
      <c r="X6" s="227"/>
      <c r="Y6" s="227"/>
      <c r="Z6" s="227"/>
      <c r="AA6" s="317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170" customFormat="1" ht="12" customHeight="1" x14ac:dyDescent="0.25">
      <c r="A7" s="273">
        <v>44714</v>
      </c>
      <c r="B7" s="231" t="s">
        <v>138</v>
      </c>
      <c r="C7" s="274" t="s">
        <v>145</v>
      </c>
      <c r="D7" s="285"/>
      <c r="E7" s="218">
        <v>10.44</v>
      </c>
      <c r="F7" s="219"/>
      <c r="G7" s="286"/>
      <c r="H7" s="304"/>
      <c r="I7" s="185"/>
      <c r="J7" s="185"/>
      <c r="K7" s="186"/>
      <c r="L7" s="185"/>
      <c r="M7" s="185"/>
      <c r="N7" s="185"/>
      <c r="O7" s="305"/>
      <c r="P7" s="318"/>
      <c r="Q7" s="191"/>
      <c r="R7" s="191"/>
      <c r="S7" s="191"/>
      <c r="T7" s="191"/>
      <c r="U7" s="232"/>
      <c r="V7" s="191"/>
      <c r="W7" s="192">
        <v>10.44</v>
      </c>
      <c r="X7" s="191"/>
      <c r="Y7" s="191"/>
      <c r="Z7" s="191"/>
      <c r="AA7" s="319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170" customFormat="1" ht="12" customHeight="1" x14ac:dyDescent="0.25">
      <c r="A8" s="273">
        <v>44715</v>
      </c>
      <c r="B8" s="231" t="s">
        <v>453</v>
      </c>
      <c r="C8" s="274" t="s">
        <v>145</v>
      </c>
      <c r="D8" s="285">
        <v>179.89</v>
      </c>
      <c r="E8" s="218"/>
      <c r="F8" s="219"/>
      <c r="G8" s="286"/>
      <c r="H8" s="304"/>
      <c r="I8" s="185">
        <v>179.89</v>
      </c>
      <c r="J8" s="185"/>
      <c r="K8" s="186"/>
      <c r="L8" s="185"/>
      <c r="M8" s="185"/>
      <c r="N8" s="185"/>
      <c r="O8" s="305"/>
      <c r="P8" s="318"/>
      <c r="Q8" s="191"/>
      <c r="R8" s="191"/>
      <c r="S8" s="191"/>
      <c r="T8" s="191"/>
      <c r="U8" s="232"/>
      <c r="V8" s="191"/>
      <c r="W8" s="192"/>
      <c r="X8" s="191"/>
      <c r="Y8" s="191"/>
      <c r="Z8" s="191"/>
      <c r="AA8" s="319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170" customFormat="1" ht="12" customHeight="1" x14ac:dyDescent="0.25">
      <c r="A9" s="273">
        <v>44715</v>
      </c>
      <c r="B9" s="231" t="s">
        <v>146</v>
      </c>
      <c r="C9" s="274" t="s">
        <v>145</v>
      </c>
      <c r="D9" s="285"/>
      <c r="E9" s="218">
        <v>29.99</v>
      </c>
      <c r="F9" s="219"/>
      <c r="G9" s="286"/>
      <c r="H9" s="304"/>
      <c r="I9" s="185"/>
      <c r="J9" s="185"/>
      <c r="K9" s="186"/>
      <c r="L9" s="185"/>
      <c r="M9" s="185"/>
      <c r="N9" s="185"/>
      <c r="O9" s="305"/>
      <c r="P9" s="318"/>
      <c r="Q9" s="191"/>
      <c r="R9" s="191"/>
      <c r="S9" s="191"/>
      <c r="T9" s="191"/>
      <c r="U9" s="232"/>
      <c r="V9" s="191">
        <v>29.99</v>
      </c>
      <c r="W9" s="192"/>
      <c r="X9" s="191"/>
      <c r="Y9" s="191"/>
      <c r="Z9" s="191"/>
      <c r="AA9" s="319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527" customFormat="1" ht="12" customHeight="1" x14ac:dyDescent="0.25">
      <c r="A10" s="511">
        <v>44716</v>
      </c>
      <c r="B10" s="512" t="s">
        <v>454</v>
      </c>
      <c r="C10" s="513" t="s">
        <v>145</v>
      </c>
      <c r="D10" s="514">
        <v>37.5</v>
      </c>
      <c r="E10" s="515"/>
      <c r="F10" s="516"/>
      <c r="G10" s="517"/>
      <c r="H10" s="518"/>
      <c r="I10" s="519"/>
      <c r="J10" s="519"/>
      <c r="K10" s="520">
        <v>37.5</v>
      </c>
      <c r="L10" s="519"/>
      <c r="M10" s="519"/>
      <c r="N10" s="519"/>
      <c r="O10" s="521"/>
      <c r="P10" s="522"/>
      <c r="Q10" s="523"/>
      <c r="R10" s="523"/>
      <c r="S10" s="523"/>
      <c r="T10" s="523"/>
      <c r="U10" s="524"/>
      <c r="V10" s="523"/>
      <c r="W10" s="525"/>
      <c r="X10" s="523"/>
      <c r="Y10" s="523"/>
      <c r="Z10" s="523"/>
      <c r="AA10" s="526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527" customFormat="1" ht="12" customHeight="1" x14ac:dyDescent="0.25">
      <c r="A11" s="511">
        <v>44716</v>
      </c>
      <c r="B11" s="512" t="s">
        <v>455</v>
      </c>
      <c r="C11" s="513" t="s">
        <v>145</v>
      </c>
      <c r="D11" s="514"/>
      <c r="E11" s="515"/>
      <c r="F11" s="516">
        <v>15</v>
      </c>
      <c r="G11" s="517"/>
      <c r="H11" s="518"/>
      <c r="I11" s="519"/>
      <c r="J11" s="519"/>
      <c r="K11" s="520">
        <v>15</v>
      </c>
      <c r="L11" s="519"/>
      <c r="M11" s="519"/>
      <c r="N11" s="519"/>
      <c r="O11" s="521"/>
      <c r="P11" s="522"/>
      <c r="Q11" s="523"/>
      <c r="R11" s="523"/>
      <c r="S11" s="523"/>
      <c r="T11" s="523"/>
      <c r="U11" s="524"/>
      <c r="V11" s="523"/>
      <c r="W11" s="525"/>
      <c r="X11" s="523"/>
      <c r="Y11" s="523"/>
      <c r="Z11" s="523"/>
      <c r="AA11" s="526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527" customFormat="1" ht="12" customHeight="1" x14ac:dyDescent="0.25">
      <c r="A12" s="511">
        <v>44716</v>
      </c>
      <c r="B12" s="512" t="s">
        <v>456</v>
      </c>
      <c r="C12" s="513" t="s">
        <v>145</v>
      </c>
      <c r="D12" s="514"/>
      <c r="E12" s="515"/>
      <c r="F12" s="516">
        <v>15</v>
      </c>
      <c r="G12" s="517"/>
      <c r="H12" s="518"/>
      <c r="I12" s="519"/>
      <c r="J12" s="519"/>
      <c r="K12" s="520">
        <v>15</v>
      </c>
      <c r="L12" s="519"/>
      <c r="M12" s="519"/>
      <c r="N12" s="519"/>
      <c r="O12" s="521"/>
      <c r="P12" s="522"/>
      <c r="Q12" s="523"/>
      <c r="R12" s="523"/>
      <c r="S12" s="523"/>
      <c r="T12" s="523"/>
      <c r="U12" s="524"/>
      <c r="V12" s="523"/>
      <c r="W12" s="525"/>
      <c r="X12" s="523"/>
      <c r="Y12" s="523"/>
      <c r="Z12" s="523"/>
      <c r="AA12" s="526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527" customFormat="1" ht="12" customHeight="1" x14ac:dyDescent="0.25">
      <c r="A13" s="511">
        <v>44716</v>
      </c>
      <c r="B13" s="512" t="s">
        <v>457</v>
      </c>
      <c r="C13" s="513" t="s">
        <v>145</v>
      </c>
      <c r="D13" s="514">
        <v>13.5</v>
      </c>
      <c r="E13" s="515"/>
      <c r="F13" s="516"/>
      <c r="G13" s="517"/>
      <c r="H13" s="518"/>
      <c r="I13" s="519"/>
      <c r="J13" s="519"/>
      <c r="K13" s="520">
        <v>13.5</v>
      </c>
      <c r="L13" s="519"/>
      <c r="M13" s="519"/>
      <c r="N13" s="519"/>
      <c r="O13" s="521"/>
      <c r="P13" s="522"/>
      <c r="Q13" s="523"/>
      <c r="R13" s="523"/>
      <c r="S13" s="523"/>
      <c r="T13" s="523"/>
      <c r="U13" s="524"/>
      <c r="V13" s="523"/>
      <c r="W13" s="525"/>
      <c r="X13" s="523"/>
      <c r="Y13" s="523"/>
      <c r="Z13" s="523"/>
      <c r="AA13" s="526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527" customFormat="1" ht="12" customHeight="1" x14ac:dyDescent="0.25">
      <c r="A14" s="511">
        <v>44716</v>
      </c>
      <c r="B14" s="512" t="s">
        <v>458</v>
      </c>
      <c r="C14" s="513" t="s">
        <v>145</v>
      </c>
      <c r="D14" s="514"/>
      <c r="E14" s="515"/>
      <c r="F14" s="516">
        <v>12</v>
      </c>
      <c r="G14" s="517"/>
      <c r="H14" s="518"/>
      <c r="I14" s="519"/>
      <c r="J14" s="519"/>
      <c r="K14" s="520">
        <v>12</v>
      </c>
      <c r="L14" s="519"/>
      <c r="M14" s="519"/>
      <c r="N14" s="519"/>
      <c r="O14" s="521"/>
      <c r="P14" s="522"/>
      <c r="Q14" s="523"/>
      <c r="R14" s="523"/>
      <c r="S14" s="523"/>
      <c r="T14" s="523"/>
      <c r="U14" s="524"/>
      <c r="V14" s="523"/>
      <c r="W14" s="525"/>
      <c r="X14" s="523"/>
      <c r="Y14" s="523"/>
      <c r="Z14" s="523"/>
      <c r="AA14" s="526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170" customFormat="1" ht="12" customHeight="1" x14ac:dyDescent="0.25">
      <c r="A15" s="273">
        <v>44716</v>
      </c>
      <c r="B15" s="231" t="s">
        <v>211</v>
      </c>
      <c r="C15" s="274" t="s">
        <v>145</v>
      </c>
      <c r="D15" s="285"/>
      <c r="E15" s="218">
        <v>17.05</v>
      </c>
      <c r="F15" s="219"/>
      <c r="G15" s="286"/>
      <c r="H15" s="304"/>
      <c r="I15" s="185"/>
      <c r="J15" s="185"/>
      <c r="K15" s="186"/>
      <c r="L15" s="185"/>
      <c r="M15" s="185"/>
      <c r="N15" s="185"/>
      <c r="O15" s="305"/>
      <c r="P15" s="318"/>
      <c r="Q15" s="191"/>
      <c r="R15" s="191"/>
      <c r="S15" s="191"/>
      <c r="T15" s="191"/>
      <c r="U15" s="232"/>
      <c r="V15" s="191"/>
      <c r="W15" s="192"/>
      <c r="X15" s="191"/>
      <c r="Y15" s="191">
        <v>17.05</v>
      </c>
      <c r="Z15" s="191"/>
      <c r="AA15" s="319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170" customFormat="1" ht="12" customHeight="1" x14ac:dyDescent="0.25">
      <c r="A16" s="273">
        <v>44716</v>
      </c>
      <c r="B16" s="231" t="s">
        <v>298</v>
      </c>
      <c r="C16" s="274" t="s">
        <v>145</v>
      </c>
      <c r="D16" s="285">
        <v>40</v>
      </c>
      <c r="E16" s="218"/>
      <c r="F16" s="219"/>
      <c r="G16" s="286"/>
      <c r="H16" s="304"/>
      <c r="I16" s="185">
        <v>40</v>
      </c>
      <c r="J16" s="185"/>
      <c r="K16" s="186"/>
      <c r="L16" s="185"/>
      <c r="M16" s="185"/>
      <c r="N16" s="185"/>
      <c r="O16" s="305"/>
      <c r="P16" s="318"/>
      <c r="Q16" s="191"/>
      <c r="R16" s="191"/>
      <c r="S16" s="191"/>
      <c r="T16" s="191"/>
      <c r="U16" s="232"/>
      <c r="V16" s="191"/>
      <c r="W16" s="192"/>
      <c r="X16" s="191"/>
      <c r="Y16" s="191"/>
      <c r="Z16" s="191"/>
      <c r="AA16" s="319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170" customFormat="1" ht="12" customHeight="1" x14ac:dyDescent="0.25">
      <c r="A17" s="273">
        <v>44718</v>
      </c>
      <c r="B17" s="231" t="s">
        <v>459</v>
      </c>
      <c r="C17" s="274" t="s">
        <v>145</v>
      </c>
      <c r="D17" s="285">
        <v>179</v>
      </c>
      <c r="E17" s="218"/>
      <c r="F17" s="219"/>
      <c r="G17" s="286"/>
      <c r="H17" s="304"/>
      <c r="I17" s="185">
        <v>179</v>
      </c>
      <c r="J17" s="185"/>
      <c r="K17" s="186"/>
      <c r="L17" s="185"/>
      <c r="M17" s="185"/>
      <c r="N17" s="185"/>
      <c r="O17" s="305"/>
      <c r="P17" s="318"/>
      <c r="Q17" s="191"/>
      <c r="R17" s="191"/>
      <c r="S17" s="191"/>
      <c r="T17" s="191"/>
      <c r="U17" s="232"/>
      <c r="V17" s="191"/>
      <c r="W17" s="192"/>
      <c r="X17" s="191"/>
      <c r="Y17" s="191"/>
      <c r="Z17" s="191"/>
      <c r="AA17" s="319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170" customFormat="1" ht="12" customHeight="1" x14ac:dyDescent="0.25">
      <c r="A18" s="273">
        <v>44718</v>
      </c>
      <c r="B18" s="231" t="s">
        <v>346</v>
      </c>
      <c r="C18" s="274" t="s">
        <v>145</v>
      </c>
      <c r="D18" s="285">
        <v>75</v>
      </c>
      <c r="E18" s="218"/>
      <c r="F18" s="219"/>
      <c r="G18" s="286"/>
      <c r="H18" s="304"/>
      <c r="I18" s="185">
        <v>75</v>
      </c>
      <c r="J18" s="185"/>
      <c r="K18" s="186"/>
      <c r="L18" s="185"/>
      <c r="M18" s="185"/>
      <c r="N18" s="185"/>
      <c r="O18" s="305"/>
      <c r="P18" s="318"/>
      <c r="Q18" s="191"/>
      <c r="R18" s="191"/>
      <c r="S18" s="191"/>
      <c r="T18" s="191"/>
      <c r="U18" s="232"/>
      <c r="V18" s="191"/>
      <c r="W18" s="192"/>
      <c r="X18" s="191"/>
      <c r="Y18" s="191"/>
      <c r="Z18" s="191"/>
      <c r="AA18" s="319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170" customFormat="1" ht="12" customHeight="1" x14ac:dyDescent="0.25">
      <c r="A19" s="273">
        <v>44719</v>
      </c>
      <c r="B19" s="231" t="s">
        <v>283</v>
      </c>
      <c r="C19" s="274" t="s">
        <v>145</v>
      </c>
      <c r="D19" s="285">
        <v>100</v>
      </c>
      <c r="E19" s="218"/>
      <c r="F19" s="219"/>
      <c r="G19" s="286"/>
      <c r="H19" s="304"/>
      <c r="I19" s="185">
        <v>100</v>
      </c>
      <c r="J19" s="185"/>
      <c r="K19" s="186"/>
      <c r="L19" s="185"/>
      <c r="M19" s="185"/>
      <c r="N19" s="185"/>
      <c r="O19" s="305"/>
      <c r="P19" s="318"/>
      <c r="Q19" s="191"/>
      <c r="R19" s="191"/>
      <c r="S19" s="191"/>
      <c r="T19" s="191"/>
      <c r="U19" s="232"/>
      <c r="V19" s="191"/>
      <c r="W19" s="192"/>
      <c r="X19" s="191"/>
      <c r="Y19" s="191"/>
      <c r="Z19" s="191"/>
      <c r="AA19" s="319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170" customFormat="1" ht="12" customHeight="1" x14ac:dyDescent="0.25">
      <c r="A20" s="273">
        <v>44719</v>
      </c>
      <c r="B20" s="231" t="s">
        <v>460</v>
      </c>
      <c r="C20" s="274" t="s">
        <v>145</v>
      </c>
      <c r="D20" s="285"/>
      <c r="E20" s="218">
        <v>1269.7</v>
      </c>
      <c r="F20" s="219"/>
      <c r="G20" s="286"/>
      <c r="H20" s="304"/>
      <c r="I20" s="185"/>
      <c r="J20" s="185"/>
      <c r="K20" s="186"/>
      <c r="L20" s="185"/>
      <c r="M20" s="185"/>
      <c r="N20" s="185"/>
      <c r="O20" s="305"/>
      <c r="P20" s="318"/>
      <c r="Q20" s="191"/>
      <c r="R20" s="191"/>
      <c r="S20" s="191"/>
      <c r="T20" s="191">
        <v>1269.7</v>
      </c>
      <c r="U20" s="232"/>
      <c r="V20" s="191"/>
      <c r="W20" s="192"/>
      <c r="X20" s="191"/>
      <c r="Y20" s="191"/>
      <c r="Z20" s="191"/>
      <c r="AA20" s="319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170" customFormat="1" ht="12" customHeight="1" x14ac:dyDescent="0.25">
      <c r="A21" s="273">
        <v>44719</v>
      </c>
      <c r="B21" s="231" t="s">
        <v>461</v>
      </c>
      <c r="C21" s="274" t="s">
        <v>145</v>
      </c>
      <c r="D21" s="285"/>
      <c r="E21" s="218">
        <v>1825</v>
      </c>
      <c r="F21" s="219"/>
      <c r="G21" s="286"/>
      <c r="H21" s="304"/>
      <c r="I21" s="185"/>
      <c r="J21" s="185"/>
      <c r="K21" s="186"/>
      <c r="L21" s="185"/>
      <c r="M21" s="185"/>
      <c r="N21" s="185"/>
      <c r="O21" s="305"/>
      <c r="P21" s="318"/>
      <c r="Q21" s="191"/>
      <c r="R21" s="191"/>
      <c r="S21" s="191"/>
      <c r="T21" s="191">
        <v>1825</v>
      </c>
      <c r="U21" s="232"/>
      <c r="V21" s="191"/>
      <c r="W21" s="192"/>
      <c r="X21" s="191"/>
      <c r="Y21" s="191"/>
      <c r="Z21" s="191"/>
      <c r="AA21" s="319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170" customFormat="1" ht="12" customHeight="1" x14ac:dyDescent="0.25">
      <c r="A22" s="273">
        <v>44726</v>
      </c>
      <c r="B22" s="231" t="s">
        <v>314</v>
      </c>
      <c r="C22" s="274" t="s">
        <v>145</v>
      </c>
      <c r="D22" s="285">
        <v>84</v>
      </c>
      <c r="E22" s="218"/>
      <c r="F22" s="219"/>
      <c r="G22" s="286"/>
      <c r="H22" s="304"/>
      <c r="I22" s="185">
        <v>84</v>
      </c>
      <c r="J22" s="185"/>
      <c r="K22" s="186"/>
      <c r="L22" s="185"/>
      <c r="M22" s="185"/>
      <c r="N22" s="185"/>
      <c r="O22" s="305"/>
      <c r="P22" s="318"/>
      <c r="Q22" s="191"/>
      <c r="R22" s="191"/>
      <c r="S22" s="191"/>
      <c r="T22" s="191"/>
      <c r="U22" s="232"/>
      <c r="V22" s="191"/>
      <c r="W22" s="192"/>
      <c r="X22" s="191"/>
      <c r="Y22" s="191"/>
      <c r="Z22" s="191"/>
      <c r="AA22" s="319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170" customFormat="1" ht="12" customHeight="1" x14ac:dyDescent="0.25">
      <c r="A23" s="273">
        <v>44726</v>
      </c>
      <c r="B23" s="231" t="s">
        <v>462</v>
      </c>
      <c r="C23" s="274" t="s">
        <v>145</v>
      </c>
      <c r="D23" s="285"/>
      <c r="E23" s="218"/>
      <c r="F23" s="219"/>
      <c r="G23" s="286">
        <v>8.1999999999999993</v>
      </c>
      <c r="H23" s="304"/>
      <c r="I23" s="185"/>
      <c r="J23" s="185"/>
      <c r="K23" s="186"/>
      <c r="L23" s="185"/>
      <c r="M23" s="185"/>
      <c r="N23" s="185"/>
      <c r="O23" s="305"/>
      <c r="P23" s="318"/>
      <c r="Q23" s="191">
        <v>8.1999999999999993</v>
      </c>
      <c r="R23" s="191"/>
      <c r="S23" s="191"/>
      <c r="T23" s="191"/>
      <c r="U23" s="232"/>
      <c r="V23" s="191"/>
      <c r="W23" s="192"/>
      <c r="X23" s="191"/>
      <c r="Y23" s="191"/>
      <c r="Z23" s="191"/>
      <c r="AA23" s="319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170" customFormat="1" ht="12" customHeight="1" x14ac:dyDescent="0.25">
      <c r="A24" s="273">
        <v>44726</v>
      </c>
      <c r="B24" s="231" t="s">
        <v>463</v>
      </c>
      <c r="C24" s="274" t="s">
        <v>145</v>
      </c>
      <c r="D24" s="285">
        <v>54</v>
      </c>
      <c r="E24" s="218"/>
      <c r="F24" s="219"/>
      <c r="G24" s="286"/>
      <c r="H24" s="304"/>
      <c r="I24" s="185"/>
      <c r="J24" s="185"/>
      <c r="K24" s="186">
        <v>54</v>
      </c>
      <c r="L24" s="185"/>
      <c r="M24" s="185"/>
      <c r="N24" s="185"/>
      <c r="O24" s="305"/>
      <c r="P24" s="318"/>
      <c r="Q24" s="191"/>
      <c r="R24" s="191"/>
      <c r="S24" s="191"/>
      <c r="T24" s="191"/>
      <c r="U24" s="232"/>
      <c r="V24" s="191"/>
      <c r="W24" s="192"/>
      <c r="X24" s="191"/>
      <c r="Y24" s="191"/>
      <c r="Z24" s="191"/>
      <c r="AA24" s="319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170" customFormat="1" ht="12" customHeight="1" x14ac:dyDescent="0.25">
      <c r="A25" s="273">
        <v>44726</v>
      </c>
      <c r="B25" s="231" t="s">
        <v>464</v>
      </c>
      <c r="C25" s="274" t="s">
        <v>145</v>
      </c>
      <c r="D25" s="285"/>
      <c r="E25" s="218"/>
      <c r="F25" s="219">
        <v>125</v>
      </c>
      <c r="G25" s="286"/>
      <c r="H25" s="304"/>
      <c r="I25" s="185"/>
      <c r="J25" s="185"/>
      <c r="K25" s="186">
        <v>125</v>
      </c>
      <c r="L25" s="185"/>
      <c r="M25" s="185"/>
      <c r="N25" s="185"/>
      <c r="O25" s="305"/>
      <c r="P25" s="318"/>
      <c r="Q25" s="191"/>
      <c r="R25" s="191"/>
      <c r="S25" s="191"/>
      <c r="T25" s="191"/>
      <c r="U25" s="232"/>
      <c r="V25" s="191"/>
      <c r="W25" s="192"/>
      <c r="X25" s="191"/>
      <c r="Y25" s="191"/>
      <c r="Z25" s="191"/>
      <c r="AA25" s="319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170" customFormat="1" ht="12" customHeight="1" x14ac:dyDescent="0.25">
      <c r="A26" s="273">
        <v>44726</v>
      </c>
      <c r="B26" s="231" t="s">
        <v>465</v>
      </c>
      <c r="C26" s="274" t="s">
        <v>145</v>
      </c>
      <c r="D26" s="285">
        <v>24</v>
      </c>
      <c r="E26" s="218"/>
      <c r="F26" s="219"/>
      <c r="G26" s="286"/>
      <c r="H26" s="304"/>
      <c r="I26" s="185"/>
      <c r="J26" s="185"/>
      <c r="K26" s="186">
        <v>24</v>
      </c>
      <c r="L26" s="185"/>
      <c r="M26" s="185"/>
      <c r="N26" s="185"/>
      <c r="O26" s="305"/>
      <c r="P26" s="318"/>
      <c r="Q26" s="191"/>
      <c r="R26" s="191"/>
      <c r="S26" s="191"/>
      <c r="T26" s="191"/>
      <c r="U26" s="232"/>
      <c r="V26" s="191"/>
      <c r="W26" s="192"/>
      <c r="X26" s="191"/>
      <c r="Y26" s="191"/>
      <c r="Z26" s="191"/>
      <c r="AA26" s="319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170" customFormat="1" ht="12" customHeight="1" x14ac:dyDescent="0.25">
      <c r="A27" s="273">
        <v>44726</v>
      </c>
      <c r="B27" s="231" t="s">
        <v>466</v>
      </c>
      <c r="C27" s="274" t="s">
        <v>145</v>
      </c>
      <c r="D27" s="285"/>
      <c r="E27" s="218"/>
      <c r="F27" s="219">
        <v>15</v>
      </c>
      <c r="G27" s="286"/>
      <c r="H27" s="304"/>
      <c r="I27" s="185"/>
      <c r="J27" s="185"/>
      <c r="K27" s="186">
        <v>15</v>
      </c>
      <c r="L27" s="185"/>
      <c r="M27" s="185"/>
      <c r="N27" s="185"/>
      <c r="O27" s="305"/>
      <c r="P27" s="318"/>
      <c r="Q27" s="191"/>
      <c r="R27" s="191"/>
      <c r="S27" s="191"/>
      <c r="T27" s="191"/>
      <c r="U27" s="232"/>
      <c r="V27" s="191"/>
      <c r="W27" s="192"/>
      <c r="X27" s="191"/>
      <c r="Y27" s="191"/>
      <c r="Z27" s="191"/>
      <c r="AA27" s="319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170" customFormat="1" ht="12" customHeight="1" x14ac:dyDescent="0.25">
      <c r="A28" s="273">
        <v>44726</v>
      </c>
      <c r="B28" s="231" t="s">
        <v>467</v>
      </c>
      <c r="C28" s="274" t="s">
        <v>145</v>
      </c>
      <c r="D28" s="285"/>
      <c r="E28" s="218"/>
      <c r="F28" s="219">
        <v>15</v>
      </c>
      <c r="G28" s="286"/>
      <c r="H28" s="304"/>
      <c r="I28" s="185"/>
      <c r="J28" s="185"/>
      <c r="K28" s="186">
        <v>15</v>
      </c>
      <c r="L28" s="185"/>
      <c r="M28" s="185"/>
      <c r="N28" s="185"/>
      <c r="O28" s="305"/>
      <c r="P28" s="318"/>
      <c r="Q28" s="191"/>
      <c r="R28" s="191"/>
      <c r="S28" s="191"/>
      <c r="T28" s="191"/>
      <c r="U28" s="232"/>
      <c r="V28" s="191"/>
      <c r="W28" s="192"/>
      <c r="X28" s="191"/>
      <c r="Y28" s="191"/>
      <c r="Z28" s="191"/>
      <c r="AA28" s="319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170" customFormat="1" ht="12" customHeight="1" x14ac:dyDescent="0.25">
      <c r="A29" s="273">
        <v>44726</v>
      </c>
      <c r="B29" s="231" t="s">
        <v>468</v>
      </c>
      <c r="C29" s="274" t="s">
        <v>145</v>
      </c>
      <c r="D29" s="285"/>
      <c r="E29" s="218">
        <v>41.29</v>
      </c>
      <c r="F29" s="219"/>
      <c r="G29" s="286"/>
      <c r="H29" s="304"/>
      <c r="I29" s="185"/>
      <c r="J29" s="185"/>
      <c r="K29" s="186"/>
      <c r="L29" s="185"/>
      <c r="M29" s="185"/>
      <c r="N29" s="185"/>
      <c r="O29" s="305"/>
      <c r="P29" s="318"/>
      <c r="Q29" s="191"/>
      <c r="R29" s="191"/>
      <c r="S29" s="191">
        <v>41.29</v>
      </c>
      <c r="T29" s="191"/>
      <c r="U29" s="232"/>
      <c r="V29" s="191"/>
      <c r="W29" s="192"/>
      <c r="X29" s="191"/>
      <c r="Y29" s="191"/>
      <c r="Z29" s="191"/>
      <c r="AA29" s="319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170" customFormat="1" ht="12" customHeight="1" x14ac:dyDescent="0.25">
      <c r="A30" s="273">
        <v>44726</v>
      </c>
      <c r="B30" s="231" t="s">
        <v>474</v>
      </c>
      <c r="C30" s="274" t="s">
        <v>145</v>
      </c>
      <c r="D30" s="285"/>
      <c r="E30" s="218">
        <v>158.4</v>
      </c>
      <c r="F30" s="219"/>
      <c r="G30" s="286"/>
      <c r="H30" s="304"/>
      <c r="I30" s="185"/>
      <c r="J30" s="185"/>
      <c r="K30" s="186"/>
      <c r="L30" s="185"/>
      <c r="M30" s="185"/>
      <c r="N30" s="185"/>
      <c r="O30" s="305"/>
      <c r="P30" s="318"/>
      <c r="Q30" s="191"/>
      <c r="R30" s="191"/>
      <c r="S30" s="191"/>
      <c r="T30" s="191">
        <v>158.4</v>
      </c>
      <c r="U30" s="232"/>
      <c r="V30" s="191"/>
      <c r="W30" s="192"/>
      <c r="X30" s="191"/>
      <c r="Y30" s="191"/>
      <c r="Z30" s="191"/>
      <c r="AA30" s="319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170" customFormat="1" ht="12" customHeight="1" x14ac:dyDescent="0.25">
      <c r="A31" s="273">
        <v>44666</v>
      </c>
      <c r="B31" s="231" t="s">
        <v>469</v>
      </c>
      <c r="C31" s="274" t="s">
        <v>145</v>
      </c>
      <c r="D31" s="285">
        <v>211.6</v>
      </c>
      <c r="E31" s="218"/>
      <c r="F31" s="219"/>
      <c r="G31" s="286">
        <v>211.6</v>
      </c>
      <c r="H31" s="304"/>
      <c r="I31" s="185"/>
      <c r="J31" s="185"/>
      <c r="K31" s="186"/>
      <c r="L31" s="185"/>
      <c r="M31" s="185"/>
      <c r="N31" s="185"/>
      <c r="O31" s="305"/>
      <c r="P31" s="318"/>
      <c r="Q31" s="191"/>
      <c r="R31" s="191"/>
      <c r="S31" s="191"/>
      <c r="T31" s="191"/>
      <c r="U31" s="232"/>
      <c r="V31" s="191"/>
      <c r="W31" s="192"/>
      <c r="X31" s="191"/>
      <c r="Y31" s="191"/>
      <c r="Z31" s="191"/>
      <c r="AA31" s="319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170" customFormat="1" ht="12" customHeight="1" x14ac:dyDescent="0.25">
      <c r="A32" s="273">
        <v>44666</v>
      </c>
      <c r="B32" s="231" t="s">
        <v>644</v>
      </c>
      <c r="C32" s="274" t="s">
        <v>145</v>
      </c>
      <c r="D32" s="285"/>
      <c r="E32" s="218">
        <v>280</v>
      </c>
      <c r="F32" s="219"/>
      <c r="G32" s="286"/>
      <c r="H32" s="304"/>
      <c r="I32" s="185"/>
      <c r="J32" s="185"/>
      <c r="K32" s="186"/>
      <c r="L32" s="185"/>
      <c r="M32" s="185"/>
      <c r="N32" s="185"/>
      <c r="O32" s="305"/>
      <c r="P32" s="318"/>
      <c r="Q32" s="191"/>
      <c r="R32" s="191"/>
      <c r="S32" s="191"/>
      <c r="T32" s="191"/>
      <c r="U32" s="232">
        <v>280</v>
      </c>
      <c r="V32" s="191"/>
      <c r="W32" s="192"/>
      <c r="X32" s="191"/>
      <c r="Y32" s="191"/>
      <c r="Z32" s="191"/>
      <c r="AA32" s="319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170" customFormat="1" ht="12" customHeight="1" x14ac:dyDescent="0.25">
      <c r="A33" s="273">
        <v>44728</v>
      </c>
      <c r="B33" s="231" t="s">
        <v>470</v>
      </c>
      <c r="C33" s="274" t="s">
        <v>145</v>
      </c>
      <c r="D33" s="285"/>
      <c r="E33" s="218">
        <v>330.27</v>
      </c>
      <c r="F33" s="219"/>
      <c r="G33" s="286"/>
      <c r="H33" s="304"/>
      <c r="I33" s="185"/>
      <c r="J33" s="185"/>
      <c r="K33" s="186"/>
      <c r="L33" s="185"/>
      <c r="M33" s="185"/>
      <c r="N33" s="185"/>
      <c r="O33" s="305"/>
      <c r="P33" s="318"/>
      <c r="Q33" s="191"/>
      <c r="R33" s="191"/>
      <c r="S33" s="191"/>
      <c r="T33" s="191">
        <v>330.27</v>
      </c>
      <c r="U33" s="232"/>
      <c r="V33" s="191"/>
      <c r="W33" s="192"/>
      <c r="X33" s="191"/>
      <c r="Y33" s="191"/>
      <c r="Z33" s="191"/>
      <c r="AA33" s="319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170" customFormat="1" ht="12" customHeight="1" x14ac:dyDescent="0.25">
      <c r="A34" s="273">
        <v>44728</v>
      </c>
      <c r="B34" s="231" t="s">
        <v>211</v>
      </c>
      <c r="C34" s="274" t="s">
        <v>145</v>
      </c>
      <c r="D34" s="285"/>
      <c r="E34" s="218">
        <v>9.1300000000000008</v>
      </c>
      <c r="F34" s="219"/>
      <c r="G34" s="286"/>
      <c r="H34" s="304"/>
      <c r="I34" s="185"/>
      <c r="J34" s="185"/>
      <c r="K34" s="186"/>
      <c r="L34" s="185"/>
      <c r="M34" s="185"/>
      <c r="N34" s="185"/>
      <c r="O34" s="305"/>
      <c r="P34" s="318"/>
      <c r="Q34" s="191"/>
      <c r="R34" s="191"/>
      <c r="S34" s="191"/>
      <c r="T34" s="191"/>
      <c r="U34" s="232"/>
      <c r="V34" s="191"/>
      <c r="W34" s="192"/>
      <c r="X34" s="191"/>
      <c r="Y34" s="191">
        <v>9.1300000000000008</v>
      </c>
      <c r="Z34" s="191"/>
      <c r="AA34" s="319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170" customFormat="1" ht="12" customHeight="1" x14ac:dyDescent="0.25">
      <c r="A35" s="273">
        <v>44731</v>
      </c>
      <c r="B35" s="231" t="s">
        <v>471</v>
      </c>
      <c r="C35" s="274" t="s">
        <v>145</v>
      </c>
      <c r="D35" s="285">
        <v>184.32</v>
      </c>
      <c r="E35" s="218"/>
      <c r="F35" s="219"/>
      <c r="G35" s="286"/>
      <c r="H35" s="304"/>
      <c r="I35" s="185">
        <v>184.32</v>
      </c>
      <c r="J35" s="185"/>
      <c r="K35" s="186"/>
      <c r="L35" s="185"/>
      <c r="M35" s="185"/>
      <c r="N35" s="185"/>
      <c r="O35" s="305"/>
      <c r="P35" s="318"/>
      <c r="Q35" s="191"/>
      <c r="R35" s="191"/>
      <c r="S35" s="191"/>
      <c r="T35" s="191"/>
      <c r="U35" s="232"/>
      <c r="V35" s="191"/>
      <c r="W35" s="192"/>
      <c r="X35" s="191"/>
      <c r="Y35" s="191"/>
      <c r="Z35" s="191"/>
      <c r="AA35" s="319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170" customFormat="1" ht="12" customHeight="1" x14ac:dyDescent="0.25">
      <c r="A36" s="273">
        <v>44731</v>
      </c>
      <c r="B36" s="231" t="s">
        <v>232</v>
      </c>
      <c r="C36" s="274" t="s">
        <v>145</v>
      </c>
      <c r="D36" s="285">
        <v>50</v>
      </c>
      <c r="E36" s="218"/>
      <c r="F36" s="219"/>
      <c r="G36" s="286"/>
      <c r="H36" s="304"/>
      <c r="I36" s="185">
        <v>50</v>
      </c>
      <c r="J36" s="185"/>
      <c r="K36" s="186"/>
      <c r="L36" s="185"/>
      <c r="M36" s="185"/>
      <c r="N36" s="185"/>
      <c r="O36" s="305"/>
      <c r="P36" s="318"/>
      <c r="Q36" s="191"/>
      <c r="R36" s="191"/>
      <c r="S36" s="191"/>
      <c r="T36" s="191"/>
      <c r="U36" s="232"/>
      <c r="V36" s="191"/>
      <c r="W36" s="192"/>
      <c r="X36" s="191"/>
      <c r="Y36" s="191"/>
      <c r="Z36" s="191"/>
      <c r="AA36" s="319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170" customFormat="1" ht="12" customHeight="1" x14ac:dyDescent="0.25">
      <c r="A37" s="273">
        <v>44731</v>
      </c>
      <c r="B37" s="231" t="s">
        <v>472</v>
      </c>
      <c r="C37" s="274" t="s">
        <v>145</v>
      </c>
      <c r="D37" s="285"/>
      <c r="E37" s="218">
        <v>603.1</v>
      </c>
      <c r="F37" s="219"/>
      <c r="G37" s="286"/>
      <c r="H37" s="304"/>
      <c r="I37" s="185"/>
      <c r="J37" s="185"/>
      <c r="K37" s="186"/>
      <c r="L37" s="185"/>
      <c r="M37" s="185"/>
      <c r="N37" s="185"/>
      <c r="O37" s="305"/>
      <c r="P37" s="318"/>
      <c r="Q37" s="191"/>
      <c r="R37" s="191"/>
      <c r="S37" s="191"/>
      <c r="T37" s="191">
        <v>603.1</v>
      </c>
      <c r="U37" s="232"/>
      <c r="V37" s="191"/>
      <c r="W37" s="192"/>
      <c r="X37" s="191"/>
      <c r="Y37" s="191"/>
      <c r="Z37" s="191"/>
      <c r="AA37" s="319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170" customFormat="1" ht="12" customHeight="1" x14ac:dyDescent="0.25">
      <c r="A38" s="273">
        <v>44731</v>
      </c>
      <c r="B38" s="231" t="s">
        <v>473</v>
      </c>
      <c r="C38" s="274" t="s">
        <v>145</v>
      </c>
      <c r="D38" s="285">
        <v>1093.3499999999999</v>
      </c>
      <c r="E38" s="218"/>
      <c r="F38" s="219"/>
      <c r="G38" s="286"/>
      <c r="H38" s="304"/>
      <c r="I38" s="185"/>
      <c r="J38" s="185"/>
      <c r="K38" s="186">
        <v>1093.3499999999999</v>
      </c>
      <c r="L38" s="185"/>
      <c r="M38" s="185"/>
      <c r="N38" s="185"/>
      <c r="O38" s="305"/>
      <c r="P38" s="318"/>
      <c r="Q38" s="191"/>
      <c r="R38" s="191"/>
      <c r="S38" s="191"/>
      <c r="T38" s="191"/>
      <c r="U38" s="232"/>
      <c r="V38" s="191"/>
      <c r="W38" s="192"/>
      <c r="X38" s="191"/>
      <c r="Y38" s="191"/>
      <c r="Z38" s="191"/>
      <c r="AA38" s="319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170" customFormat="1" ht="12" customHeight="1" x14ac:dyDescent="0.25">
      <c r="A39" s="273">
        <v>44732</v>
      </c>
      <c r="B39" s="231" t="s">
        <v>475</v>
      </c>
      <c r="C39" s="274" t="s">
        <v>145</v>
      </c>
      <c r="D39" s="285">
        <v>63</v>
      </c>
      <c r="E39" s="218"/>
      <c r="F39" s="219"/>
      <c r="G39" s="286"/>
      <c r="H39" s="304"/>
      <c r="I39" s="185">
        <v>63</v>
      </c>
      <c r="J39" s="185"/>
      <c r="K39" s="186"/>
      <c r="L39" s="185"/>
      <c r="M39" s="185"/>
      <c r="N39" s="185"/>
      <c r="O39" s="305"/>
      <c r="P39" s="318"/>
      <c r="Q39" s="191"/>
      <c r="R39" s="191"/>
      <c r="S39" s="191"/>
      <c r="T39" s="191"/>
      <c r="U39" s="232"/>
      <c r="V39" s="191"/>
      <c r="W39" s="192"/>
      <c r="X39" s="191"/>
      <c r="Y39" s="191"/>
      <c r="Z39" s="191"/>
      <c r="AA39" s="319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170" customFormat="1" ht="12" customHeight="1" x14ac:dyDescent="0.25">
      <c r="A40" s="273">
        <v>44735</v>
      </c>
      <c r="B40" s="231" t="s">
        <v>476</v>
      </c>
      <c r="C40" s="274" t="s">
        <v>145</v>
      </c>
      <c r="D40" s="285"/>
      <c r="E40" s="218">
        <v>122.11</v>
      </c>
      <c r="F40" s="219"/>
      <c r="G40" s="286"/>
      <c r="H40" s="304"/>
      <c r="I40" s="185"/>
      <c r="J40" s="185"/>
      <c r="K40" s="186"/>
      <c r="L40" s="185"/>
      <c r="M40" s="185"/>
      <c r="N40" s="185"/>
      <c r="O40" s="305"/>
      <c r="P40" s="318">
        <v>122.11</v>
      </c>
      <c r="Q40" s="191"/>
      <c r="R40" s="191"/>
      <c r="S40" s="191"/>
      <c r="T40" s="191"/>
      <c r="U40" s="232"/>
      <c r="V40" s="191"/>
      <c r="W40" s="192"/>
      <c r="X40" s="191"/>
      <c r="Y40" s="191"/>
      <c r="Z40" s="191"/>
      <c r="AA40" s="319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170" customFormat="1" ht="12" customHeight="1" x14ac:dyDescent="0.25">
      <c r="A41" s="273">
        <v>44736</v>
      </c>
      <c r="B41" s="231" t="s">
        <v>477</v>
      </c>
      <c r="C41" s="274" t="s">
        <v>145</v>
      </c>
      <c r="D41" s="285">
        <v>129</v>
      </c>
      <c r="E41" s="218"/>
      <c r="F41" s="219"/>
      <c r="G41" s="286"/>
      <c r="H41" s="304"/>
      <c r="I41" s="185"/>
      <c r="J41" s="185"/>
      <c r="K41" s="186">
        <v>129</v>
      </c>
      <c r="L41" s="185"/>
      <c r="M41" s="185"/>
      <c r="N41" s="185"/>
      <c r="O41" s="305"/>
      <c r="P41" s="318"/>
      <c r="Q41" s="191"/>
      <c r="R41" s="191"/>
      <c r="S41" s="191"/>
      <c r="T41" s="191"/>
      <c r="U41" s="232"/>
      <c r="V41" s="191"/>
      <c r="W41" s="192"/>
      <c r="X41" s="191"/>
      <c r="Y41" s="191"/>
      <c r="Z41" s="191"/>
      <c r="AA41" s="319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44736</v>
      </c>
      <c r="B42" s="231" t="s">
        <v>478</v>
      </c>
      <c r="C42" s="274" t="s">
        <v>145</v>
      </c>
      <c r="D42" s="285"/>
      <c r="E42" s="218"/>
      <c r="F42" s="219">
        <v>30</v>
      </c>
      <c r="G42" s="286"/>
      <c r="H42" s="304"/>
      <c r="I42" s="185"/>
      <c r="J42" s="185"/>
      <c r="K42" s="186">
        <v>30</v>
      </c>
      <c r="L42" s="185"/>
      <c r="M42" s="185"/>
      <c r="N42" s="185"/>
      <c r="O42" s="305"/>
      <c r="P42" s="318"/>
      <c r="Q42" s="191"/>
      <c r="R42" s="191"/>
      <c r="S42" s="191"/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170" customFormat="1" ht="12" customHeight="1" x14ac:dyDescent="0.25">
      <c r="A43" s="273">
        <v>44736</v>
      </c>
      <c r="B43" s="231" t="s">
        <v>479</v>
      </c>
      <c r="C43" s="274" t="s">
        <v>145</v>
      </c>
      <c r="D43" s="285"/>
      <c r="E43" s="218"/>
      <c r="F43" s="219">
        <v>237</v>
      </c>
      <c r="G43" s="286"/>
      <c r="H43" s="304"/>
      <c r="I43" s="185"/>
      <c r="J43" s="185"/>
      <c r="K43" s="186">
        <v>237</v>
      </c>
      <c r="L43" s="185"/>
      <c r="M43" s="185"/>
      <c r="N43" s="185"/>
      <c r="O43" s="305"/>
      <c r="P43" s="318"/>
      <c r="Q43" s="191"/>
      <c r="R43" s="191"/>
      <c r="S43" s="191"/>
      <c r="T43" s="191"/>
      <c r="U43" s="232"/>
      <c r="V43" s="191"/>
      <c r="W43" s="192"/>
      <c r="X43" s="191"/>
      <c r="Y43" s="191"/>
      <c r="Z43" s="191"/>
      <c r="AA43" s="319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170" customFormat="1" ht="12" customHeight="1" x14ac:dyDescent="0.25">
      <c r="A44" s="273">
        <v>44736</v>
      </c>
      <c r="B44" s="231" t="s">
        <v>480</v>
      </c>
      <c r="C44" s="274" t="s">
        <v>145</v>
      </c>
      <c r="D44" s="285">
        <v>26</v>
      </c>
      <c r="E44" s="218"/>
      <c r="F44" s="219"/>
      <c r="G44" s="286"/>
      <c r="H44" s="304"/>
      <c r="I44" s="185"/>
      <c r="J44" s="185"/>
      <c r="K44" s="186">
        <v>26</v>
      </c>
      <c r="L44" s="185"/>
      <c r="M44" s="185"/>
      <c r="N44" s="185"/>
      <c r="O44" s="305"/>
      <c r="P44" s="318"/>
      <c r="Q44" s="191"/>
      <c r="R44" s="191"/>
      <c r="S44" s="191"/>
      <c r="T44" s="191"/>
      <c r="U44" s="232"/>
      <c r="V44" s="191"/>
      <c r="W44" s="192"/>
      <c r="X44" s="191"/>
      <c r="Y44" s="191"/>
      <c r="Z44" s="191"/>
      <c r="AA44" s="319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170" customFormat="1" ht="12" customHeight="1" x14ac:dyDescent="0.25">
      <c r="A45" s="273">
        <v>44736</v>
      </c>
      <c r="B45" s="231" t="s">
        <v>481</v>
      </c>
      <c r="C45" s="274" t="s">
        <v>145</v>
      </c>
      <c r="D45" s="285">
        <v>36.4</v>
      </c>
      <c r="E45" s="218"/>
      <c r="F45" s="219"/>
      <c r="G45" s="286"/>
      <c r="H45" s="304"/>
      <c r="I45" s="185"/>
      <c r="J45" s="185"/>
      <c r="K45" s="186">
        <v>36.4</v>
      </c>
      <c r="L45" s="185"/>
      <c r="M45" s="185"/>
      <c r="N45" s="185"/>
      <c r="O45" s="305"/>
      <c r="P45" s="318"/>
      <c r="Q45" s="191"/>
      <c r="R45" s="191"/>
      <c r="S45" s="191"/>
      <c r="T45" s="191"/>
      <c r="U45" s="232"/>
      <c r="V45" s="191"/>
      <c r="W45" s="192"/>
      <c r="X45" s="191"/>
      <c r="Y45" s="191"/>
      <c r="Z45" s="191"/>
      <c r="AA45" s="319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170" customFormat="1" ht="12" customHeight="1" x14ac:dyDescent="0.25">
      <c r="A46" s="273">
        <v>44736</v>
      </c>
      <c r="B46" s="231" t="s">
        <v>482</v>
      </c>
      <c r="C46" s="274" t="s">
        <v>145</v>
      </c>
      <c r="D46" s="285"/>
      <c r="E46" s="218"/>
      <c r="F46" s="219">
        <v>15</v>
      </c>
      <c r="G46" s="286"/>
      <c r="H46" s="304"/>
      <c r="I46" s="185"/>
      <c r="J46" s="185"/>
      <c r="K46" s="186">
        <v>15</v>
      </c>
      <c r="L46" s="185"/>
      <c r="M46" s="185"/>
      <c r="N46" s="185"/>
      <c r="O46" s="305"/>
      <c r="P46" s="318"/>
      <c r="Q46" s="191"/>
      <c r="R46" s="191"/>
      <c r="S46" s="191"/>
      <c r="T46" s="191"/>
      <c r="U46" s="232"/>
      <c r="V46" s="191"/>
      <c r="W46" s="192"/>
      <c r="X46" s="191"/>
      <c r="Y46" s="191"/>
      <c r="Z46" s="191"/>
      <c r="AA46" s="319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170" customFormat="1" ht="12" customHeight="1" x14ac:dyDescent="0.25">
      <c r="A47" s="273">
        <v>44737</v>
      </c>
      <c r="B47" s="231" t="s">
        <v>322</v>
      </c>
      <c r="C47" s="274" t="s">
        <v>145</v>
      </c>
      <c r="D47" s="285">
        <v>150</v>
      </c>
      <c r="E47" s="218"/>
      <c r="F47" s="219"/>
      <c r="G47" s="286"/>
      <c r="H47" s="304"/>
      <c r="I47" s="185">
        <v>150</v>
      </c>
      <c r="J47" s="185"/>
      <c r="K47" s="186"/>
      <c r="L47" s="185"/>
      <c r="M47" s="185"/>
      <c r="N47" s="185"/>
      <c r="O47" s="305"/>
      <c r="P47" s="318"/>
      <c r="Q47" s="191"/>
      <c r="R47" s="191"/>
      <c r="S47" s="191"/>
      <c r="T47" s="191"/>
      <c r="U47" s="232"/>
      <c r="V47" s="191"/>
      <c r="W47" s="192"/>
      <c r="X47" s="191"/>
      <c r="Y47" s="191"/>
      <c r="Z47" s="191"/>
      <c r="AA47" s="319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170" customFormat="1" ht="12" customHeight="1" x14ac:dyDescent="0.25">
      <c r="A48" s="273">
        <v>44739</v>
      </c>
      <c r="B48" s="231" t="s">
        <v>436</v>
      </c>
      <c r="C48" s="274" t="s">
        <v>145</v>
      </c>
      <c r="D48" s="285">
        <v>100.02</v>
      </c>
      <c r="E48" s="218"/>
      <c r="F48" s="219"/>
      <c r="G48" s="286"/>
      <c r="H48" s="304"/>
      <c r="I48" s="185">
        <v>100.02</v>
      </c>
      <c r="J48" s="185"/>
      <c r="K48" s="186"/>
      <c r="L48" s="185"/>
      <c r="M48" s="185"/>
      <c r="N48" s="185"/>
      <c r="O48" s="305"/>
      <c r="P48" s="318"/>
      <c r="Q48" s="191"/>
      <c r="R48" s="191"/>
      <c r="S48" s="191"/>
      <c r="T48" s="191"/>
      <c r="U48" s="232"/>
      <c r="V48" s="191"/>
      <c r="W48" s="192"/>
      <c r="X48" s="191"/>
      <c r="Y48" s="191"/>
      <c r="Z48" s="191"/>
      <c r="AA48" s="319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170" customFormat="1" ht="12" customHeight="1" x14ac:dyDescent="0.25">
      <c r="A49" s="273">
        <v>44739</v>
      </c>
      <c r="B49" s="231" t="s">
        <v>208</v>
      </c>
      <c r="C49" s="274" t="s">
        <v>145</v>
      </c>
      <c r="D49" s="285"/>
      <c r="E49" s="218">
        <v>172.8</v>
      </c>
      <c r="F49" s="219"/>
      <c r="G49" s="286"/>
      <c r="H49" s="304"/>
      <c r="I49" s="185"/>
      <c r="J49" s="185"/>
      <c r="K49" s="186"/>
      <c r="L49" s="185"/>
      <c r="M49" s="185"/>
      <c r="N49" s="185"/>
      <c r="O49" s="305"/>
      <c r="P49" s="318"/>
      <c r="Q49" s="191"/>
      <c r="R49" s="191"/>
      <c r="S49" s="191"/>
      <c r="T49" s="191"/>
      <c r="U49" s="232"/>
      <c r="V49" s="191">
        <v>172.8</v>
      </c>
      <c r="W49" s="192"/>
      <c r="X49" s="191"/>
      <c r="Y49" s="191"/>
      <c r="Z49" s="191"/>
      <c r="AA49" s="319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44739</v>
      </c>
      <c r="B50" s="231" t="s">
        <v>196</v>
      </c>
      <c r="C50" s="274" t="s">
        <v>145</v>
      </c>
      <c r="D50" s="285">
        <v>60</v>
      </c>
      <c r="E50" s="218"/>
      <c r="F50" s="219"/>
      <c r="G50" s="286"/>
      <c r="H50" s="304"/>
      <c r="I50" s="185">
        <v>60</v>
      </c>
      <c r="J50" s="185"/>
      <c r="K50" s="186"/>
      <c r="L50" s="185"/>
      <c r="M50" s="185"/>
      <c r="N50" s="185"/>
      <c r="O50" s="305"/>
      <c r="P50" s="318"/>
      <c r="Q50" s="191"/>
      <c r="R50" s="191"/>
      <c r="S50" s="191"/>
      <c r="T50" s="191"/>
      <c r="U50" s="232"/>
      <c r="V50" s="191"/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170" customFormat="1" ht="12" customHeight="1" x14ac:dyDescent="0.25">
      <c r="A51" s="273">
        <v>44741</v>
      </c>
      <c r="B51" s="231" t="s">
        <v>484</v>
      </c>
      <c r="C51" s="274" t="s">
        <v>145</v>
      </c>
      <c r="D51" s="285">
        <v>100</v>
      </c>
      <c r="E51" s="218"/>
      <c r="F51" s="219"/>
      <c r="G51" s="286"/>
      <c r="H51" s="304"/>
      <c r="I51" s="185">
        <v>100</v>
      </c>
      <c r="J51" s="185"/>
      <c r="K51" s="186"/>
      <c r="L51" s="185"/>
      <c r="M51" s="185"/>
      <c r="N51" s="185"/>
      <c r="O51" s="305"/>
      <c r="P51" s="318"/>
      <c r="Q51" s="191"/>
      <c r="R51" s="191"/>
      <c r="S51" s="191"/>
      <c r="T51" s="191"/>
      <c r="U51" s="232"/>
      <c r="V51" s="191"/>
      <c r="W51" s="192"/>
      <c r="X51" s="191"/>
      <c r="Y51" s="191"/>
      <c r="Z51" s="191"/>
      <c r="AA51" s="319"/>
      <c r="AB51" s="168"/>
      <c r="AC51" s="168"/>
      <c r="AD51" s="168"/>
      <c r="AE51" s="168"/>
      <c r="AF51" s="168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</row>
    <row r="52" spans="1:115" s="170" customFormat="1" ht="12" customHeight="1" x14ac:dyDescent="0.25">
      <c r="A52" s="273">
        <v>44742</v>
      </c>
      <c r="B52" s="231" t="s">
        <v>215</v>
      </c>
      <c r="C52" s="274" t="s">
        <v>145</v>
      </c>
      <c r="D52" s="285"/>
      <c r="E52" s="218">
        <v>60</v>
      </c>
      <c r="F52" s="219"/>
      <c r="G52" s="286"/>
      <c r="H52" s="304"/>
      <c r="I52" s="185"/>
      <c r="J52" s="185"/>
      <c r="K52" s="186"/>
      <c r="L52" s="185"/>
      <c r="M52" s="185"/>
      <c r="N52" s="185"/>
      <c r="O52" s="305"/>
      <c r="P52" s="318"/>
      <c r="Q52" s="191"/>
      <c r="R52" s="191"/>
      <c r="S52" s="191"/>
      <c r="T52" s="191"/>
      <c r="U52" s="232"/>
      <c r="V52" s="191">
        <v>60</v>
      </c>
      <c r="W52" s="192"/>
      <c r="X52" s="191"/>
      <c r="Y52" s="191"/>
      <c r="Z52" s="191"/>
      <c r="AA52" s="319"/>
      <c r="AB52" s="168"/>
      <c r="AC52" s="168"/>
      <c r="AD52" s="168"/>
      <c r="AE52" s="168"/>
      <c r="AF52" s="168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</row>
    <row r="53" spans="1:115" s="170" customFormat="1" ht="12" customHeight="1" x14ac:dyDescent="0.25">
      <c r="A53" s="273">
        <v>44742</v>
      </c>
      <c r="B53" s="231" t="s">
        <v>485</v>
      </c>
      <c r="C53" s="274" t="s">
        <v>145</v>
      </c>
      <c r="D53" s="285"/>
      <c r="E53" s="218">
        <v>24</v>
      </c>
      <c r="F53" s="219"/>
      <c r="G53" s="286"/>
      <c r="H53" s="304"/>
      <c r="I53" s="185"/>
      <c r="J53" s="185"/>
      <c r="K53" s="186"/>
      <c r="L53" s="185"/>
      <c r="M53" s="185"/>
      <c r="N53" s="185"/>
      <c r="O53" s="305"/>
      <c r="P53" s="318"/>
      <c r="Q53" s="191"/>
      <c r="R53" s="191"/>
      <c r="S53" s="191"/>
      <c r="T53" s="191">
        <v>24</v>
      </c>
      <c r="U53" s="232"/>
      <c r="V53" s="191"/>
      <c r="W53" s="192"/>
      <c r="X53" s="191"/>
      <c r="Y53" s="191"/>
      <c r="Z53" s="191"/>
      <c r="AA53" s="319"/>
      <c r="AB53" s="168"/>
      <c r="AC53" s="168"/>
      <c r="AD53" s="168"/>
      <c r="AE53" s="168"/>
      <c r="AF53" s="168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</row>
    <row r="54" spans="1:115" s="9" customFormat="1" ht="11" thickBot="1" x14ac:dyDescent="0.3">
      <c r="A54" s="277" t="s">
        <v>25</v>
      </c>
      <c r="B54" s="278"/>
      <c r="C54" s="279"/>
      <c r="D54" s="289">
        <f t="shared" ref="D54:AA54" si="0">SUM(D6:D53)</f>
        <v>2990.58</v>
      </c>
      <c r="E54" s="290">
        <f t="shared" si="0"/>
        <v>4953.2800000000007</v>
      </c>
      <c r="F54" s="291">
        <f t="shared" si="0"/>
        <v>501.8</v>
      </c>
      <c r="G54" s="292">
        <f t="shared" si="0"/>
        <v>219.79999999999998</v>
      </c>
      <c r="H54" s="289">
        <f t="shared" si="0"/>
        <v>22.8</v>
      </c>
      <c r="I54" s="290">
        <f t="shared" si="0"/>
        <v>1365.23</v>
      </c>
      <c r="J54" s="290">
        <f t="shared" si="0"/>
        <v>0</v>
      </c>
      <c r="K54" s="290">
        <f t="shared" si="0"/>
        <v>1892.75</v>
      </c>
      <c r="L54" s="290">
        <f t="shared" si="0"/>
        <v>0</v>
      </c>
      <c r="M54" s="290">
        <f t="shared" si="0"/>
        <v>0</v>
      </c>
      <c r="N54" s="290">
        <f t="shared" si="0"/>
        <v>0</v>
      </c>
      <c r="O54" s="308">
        <f t="shared" si="0"/>
        <v>0</v>
      </c>
      <c r="P54" s="322">
        <f t="shared" si="0"/>
        <v>122.11</v>
      </c>
      <c r="Q54" s="323">
        <f t="shared" si="0"/>
        <v>8.1999999999999993</v>
      </c>
      <c r="R54" s="323">
        <f t="shared" si="0"/>
        <v>0</v>
      </c>
      <c r="S54" s="323">
        <f t="shared" si="0"/>
        <v>41.29</v>
      </c>
      <c r="T54" s="323">
        <f t="shared" si="0"/>
        <v>4210.47</v>
      </c>
      <c r="U54" s="323">
        <f t="shared" si="0"/>
        <v>280</v>
      </c>
      <c r="V54" s="323">
        <f t="shared" si="0"/>
        <v>262.79000000000002</v>
      </c>
      <c r="W54" s="323">
        <f t="shared" si="0"/>
        <v>10.44</v>
      </c>
      <c r="X54" s="323">
        <f t="shared" si="0"/>
        <v>0</v>
      </c>
      <c r="Y54" s="323">
        <f t="shared" si="0"/>
        <v>26.18</v>
      </c>
      <c r="Z54" s="323">
        <f t="shared" si="0"/>
        <v>0</v>
      </c>
      <c r="AA54" s="324">
        <f t="shared" si="0"/>
        <v>0</v>
      </c>
      <c r="AB54" s="37"/>
      <c r="AC54" s="37"/>
      <c r="AD54" s="37"/>
      <c r="AE54" s="37"/>
      <c r="AF54" s="37"/>
      <c r="AG54" s="37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38" customFormat="1" ht="11.5" thickTop="1" thickBot="1" x14ac:dyDescent="0.3">
      <c r="A55" s="326"/>
      <c r="B55" s="327"/>
      <c r="C55" s="328"/>
      <c r="D55" s="336"/>
      <c r="E55" s="337"/>
      <c r="F55" s="338"/>
      <c r="G55" s="339"/>
      <c r="H55" s="353"/>
      <c r="I55" s="338"/>
      <c r="J55" s="338"/>
      <c r="K55" s="354"/>
      <c r="L55" s="338"/>
      <c r="M55" s="338"/>
      <c r="N55" s="355"/>
      <c r="O55" s="339"/>
      <c r="P55" s="372"/>
      <c r="Q55" s="373"/>
      <c r="R55" s="373"/>
      <c r="S55" s="373"/>
      <c r="T55" s="374"/>
      <c r="U55" s="373"/>
      <c r="V55" s="373"/>
      <c r="W55" s="375"/>
      <c r="X55" s="376"/>
      <c r="Y55" s="376"/>
      <c r="Z55" s="376"/>
      <c r="AA55" s="377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</row>
    <row r="56" spans="1:115" s="6" customFormat="1" ht="53.5" thickTop="1" thickBot="1" x14ac:dyDescent="0.3">
      <c r="A56" s="329" t="s">
        <v>1</v>
      </c>
      <c r="B56" s="12" t="s">
        <v>2</v>
      </c>
      <c r="C56" s="330"/>
      <c r="D56" s="340" t="s">
        <v>3</v>
      </c>
      <c r="E56" s="233"/>
      <c r="F56" s="233" t="s">
        <v>4</v>
      </c>
      <c r="G56" s="341"/>
      <c r="H56" s="356" t="s">
        <v>5</v>
      </c>
      <c r="I56" s="13" t="s">
        <v>6</v>
      </c>
      <c r="J56" s="13" t="s">
        <v>7</v>
      </c>
      <c r="K56" s="14" t="s">
        <v>8</v>
      </c>
      <c r="L56" s="15" t="s">
        <v>9</v>
      </c>
      <c r="M56" s="14" t="s">
        <v>10</v>
      </c>
      <c r="N56" s="14" t="s">
        <v>11</v>
      </c>
      <c r="O56" s="357" t="s">
        <v>12</v>
      </c>
      <c r="P56" s="293" t="s">
        <v>13</v>
      </c>
      <c r="Q56" s="297" t="s">
        <v>98</v>
      </c>
      <c r="R56" s="309" t="s">
        <v>14</v>
      </c>
      <c r="S56" s="310" t="s">
        <v>15</v>
      </c>
      <c r="T56" s="311" t="s">
        <v>16</v>
      </c>
      <c r="U56" s="297" t="s">
        <v>17</v>
      </c>
      <c r="V56" s="297" t="s">
        <v>18</v>
      </c>
      <c r="W56" s="294" t="s">
        <v>63</v>
      </c>
      <c r="X56" s="312" t="s">
        <v>19</v>
      </c>
      <c r="Y56" s="297" t="s">
        <v>65</v>
      </c>
      <c r="Z56" s="297" t="s">
        <v>102</v>
      </c>
      <c r="AA56" s="298" t="s">
        <v>104</v>
      </c>
    </row>
    <row r="57" spans="1:115" s="6" customFormat="1" ht="11" thickBot="1" x14ac:dyDescent="0.3">
      <c r="A57" s="331"/>
      <c r="B57" s="16"/>
      <c r="C57" s="332"/>
      <c r="D57" s="342" t="s">
        <v>22</v>
      </c>
      <c r="E57" s="39" t="s">
        <v>23</v>
      </c>
      <c r="F57" s="16" t="s">
        <v>22</v>
      </c>
      <c r="G57" s="343" t="s">
        <v>23</v>
      </c>
      <c r="H57" s="331" t="s">
        <v>22</v>
      </c>
      <c r="I57" s="16" t="s">
        <v>22</v>
      </c>
      <c r="J57" s="16" t="s">
        <v>22</v>
      </c>
      <c r="K57" s="17" t="s">
        <v>22</v>
      </c>
      <c r="L57" s="18" t="s">
        <v>22</v>
      </c>
      <c r="M57" s="19" t="s">
        <v>22</v>
      </c>
      <c r="N57" s="20"/>
      <c r="O57" s="358" t="s">
        <v>22</v>
      </c>
      <c r="P57" s="331" t="s">
        <v>23</v>
      </c>
      <c r="Q57" s="16" t="s">
        <v>23</v>
      </c>
      <c r="R57" s="18" t="s">
        <v>23</v>
      </c>
      <c r="S57" s="18" t="s">
        <v>23</v>
      </c>
      <c r="T57" s="16" t="s">
        <v>23</v>
      </c>
      <c r="U57" s="16" t="s">
        <v>23</v>
      </c>
      <c r="V57" s="16" t="s">
        <v>23</v>
      </c>
      <c r="W57" s="19" t="s">
        <v>23</v>
      </c>
      <c r="X57" s="16" t="s">
        <v>23</v>
      </c>
      <c r="Y57" s="16" t="s">
        <v>23</v>
      </c>
      <c r="Z57" s="16" t="s">
        <v>23</v>
      </c>
      <c r="AA57" s="378" t="s">
        <v>23</v>
      </c>
    </row>
    <row r="58" spans="1:115" s="21" customFormat="1" ht="11" thickBot="1" x14ac:dyDescent="0.3">
      <c r="A58" s="333"/>
      <c r="B58" s="334"/>
      <c r="C58" s="335"/>
      <c r="D58" s="344">
        <f t="shared" ref="D58:AA58" si="1">SUM(D5:D53)</f>
        <v>16895.600000000009</v>
      </c>
      <c r="E58" s="345">
        <f t="shared" si="1"/>
        <v>4953.2800000000007</v>
      </c>
      <c r="F58" s="345">
        <f t="shared" si="1"/>
        <v>562.75</v>
      </c>
      <c r="G58" s="346">
        <f t="shared" si="1"/>
        <v>219.79999999999998</v>
      </c>
      <c r="H58" s="359">
        <f t="shared" si="1"/>
        <v>22.8</v>
      </c>
      <c r="I58" s="360">
        <f t="shared" si="1"/>
        <v>1365.23</v>
      </c>
      <c r="J58" s="360">
        <f t="shared" si="1"/>
        <v>0</v>
      </c>
      <c r="K58" s="360">
        <f t="shared" si="1"/>
        <v>1892.75</v>
      </c>
      <c r="L58" s="360">
        <f t="shared" si="1"/>
        <v>0</v>
      </c>
      <c r="M58" s="360">
        <f t="shared" si="1"/>
        <v>0</v>
      </c>
      <c r="N58" s="360">
        <f t="shared" si="1"/>
        <v>0</v>
      </c>
      <c r="O58" s="361">
        <f t="shared" si="1"/>
        <v>13965.970000000007</v>
      </c>
      <c r="P58" s="359">
        <f t="shared" si="1"/>
        <v>122.11</v>
      </c>
      <c r="Q58" s="360">
        <f t="shared" si="1"/>
        <v>8.1999999999999993</v>
      </c>
      <c r="R58" s="360">
        <f t="shared" si="1"/>
        <v>0</v>
      </c>
      <c r="S58" s="360">
        <f t="shared" si="1"/>
        <v>41.29</v>
      </c>
      <c r="T58" s="360">
        <f t="shared" si="1"/>
        <v>4210.47</v>
      </c>
      <c r="U58" s="360">
        <f t="shared" si="1"/>
        <v>280</v>
      </c>
      <c r="V58" s="360">
        <f t="shared" si="1"/>
        <v>262.79000000000002</v>
      </c>
      <c r="W58" s="360">
        <f t="shared" si="1"/>
        <v>10.44</v>
      </c>
      <c r="X58" s="360">
        <f t="shared" si="1"/>
        <v>0</v>
      </c>
      <c r="Y58" s="360">
        <f t="shared" si="1"/>
        <v>26.18</v>
      </c>
      <c r="Z58" s="360">
        <f t="shared" si="1"/>
        <v>0</v>
      </c>
      <c r="AA58" s="361">
        <f t="shared" si="1"/>
        <v>0</v>
      </c>
    </row>
    <row r="59" spans="1:115" s="6" customFormat="1" ht="11.5" thickTop="1" thickBot="1" x14ac:dyDescent="0.3">
      <c r="A59" s="347"/>
      <c r="B59" s="348" t="s">
        <v>26</v>
      </c>
      <c r="C59" s="349"/>
      <c r="D59" s="350">
        <f>SUM(D58-E58)</f>
        <v>11942.320000000009</v>
      </c>
      <c r="E59" s="351"/>
      <c r="F59" s="350">
        <f>SUM(F58-G58)</f>
        <v>342.95000000000005</v>
      </c>
      <c r="G59" s="352"/>
      <c r="H59" s="363"/>
      <c r="I59" s="379"/>
      <c r="J59" s="379" t="s">
        <v>20</v>
      </c>
      <c r="K59" s="365"/>
      <c r="L59" s="364"/>
      <c r="M59" s="364" t="s">
        <v>20</v>
      </c>
      <c r="N59" s="366"/>
      <c r="O59" s="367" t="s">
        <v>20</v>
      </c>
      <c r="P59" s="363"/>
      <c r="Q59" s="364"/>
      <c r="R59" s="364" t="s">
        <v>20</v>
      </c>
      <c r="S59" s="364" t="s">
        <v>20</v>
      </c>
      <c r="T59" s="364" t="s">
        <v>20</v>
      </c>
      <c r="U59" s="371"/>
      <c r="V59" s="364" t="s">
        <v>20</v>
      </c>
      <c r="W59" s="371"/>
      <c r="X59" s="364" t="s">
        <v>20</v>
      </c>
      <c r="Y59" s="364" t="s">
        <v>20</v>
      </c>
      <c r="Z59" s="364" t="s">
        <v>20</v>
      </c>
      <c r="AA59" s="352" t="s">
        <v>20</v>
      </c>
    </row>
    <row r="60" spans="1:115" s="6" customFormat="1" ht="13.5" thickTop="1" thickBot="1" x14ac:dyDescent="0.3">
      <c r="A60" s="2"/>
      <c r="B60" s="2"/>
      <c r="C60" s="55"/>
      <c r="D60" s="35"/>
      <c r="E60" s="34"/>
      <c r="F60" s="4"/>
      <c r="I60" s="546" t="s">
        <v>27</v>
      </c>
      <c r="J60" s="547"/>
      <c r="K60" s="362">
        <f>SUM(H58:O58)</f>
        <v>17246.750000000007</v>
      </c>
      <c r="O60" s="22"/>
      <c r="P60" s="4"/>
      <c r="Q60" s="6" t="s">
        <v>28</v>
      </c>
      <c r="R60" s="368" t="s">
        <v>20</v>
      </c>
      <c r="S60" s="369">
        <f>SUM(P58:AA58)</f>
        <v>4961.4800000000005</v>
      </c>
      <c r="T60" s="370"/>
    </row>
    <row r="61" spans="1:115" s="6" customFormat="1" ht="11" thickBot="1" x14ac:dyDescent="0.3">
      <c r="A61" s="2"/>
      <c r="B61" s="23" t="s">
        <v>29</v>
      </c>
      <c r="C61" s="23"/>
      <c r="D61" s="40" t="s">
        <v>20</v>
      </c>
      <c r="E61" s="193">
        <f>SUM(D58-E58+F58-G58)</f>
        <v>12285.27000000001</v>
      </c>
      <c r="F61" s="25" t="s">
        <v>49</v>
      </c>
      <c r="H61" s="26"/>
      <c r="I61" s="46"/>
      <c r="J61" s="46"/>
      <c r="K61" s="27"/>
      <c r="M61" s="7"/>
      <c r="N61" s="46"/>
      <c r="O61" s="24">
        <f>E58</f>
        <v>4953.2800000000007</v>
      </c>
      <c r="P61" s="540">
        <f>SUM(K60-S60)</f>
        <v>12285.270000000008</v>
      </c>
      <c r="Q61" s="540"/>
      <c r="R61" s="541" t="s">
        <v>30</v>
      </c>
      <c r="S61" s="541"/>
      <c r="T61" s="541"/>
    </row>
    <row r="62" spans="1:115" s="6" customFormat="1" ht="10.5" x14ac:dyDescent="0.25">
      <c r="A62" s="1"/>
      <c r="B62" s="2"/>
      <c r="C62" s="55"/>
      <c r="D62" s="28"/>
      <c r="E62" s="34"/>
      <c r="F62" s="4"/>
      <c r="G62" s="3"/>
      <c r="H62" s="3"/>
      <c r="I62" s="3"/>
      <c r="J62" s="3"/>
      <c r="K62" s="5"/>
      <c r="L62" s="3"/>
      <c r="M62" s="3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115" s="6" customFormat="1" x14ac:dyDescent="0.25">
      <c r="A63" s="1"/>
      <c r="B63" s="2"/>
      <c r="C63" s="2"/>
      <c r="D63" s="542" t="s">
        <v>52</v>
      </c>
      <c r="E63" s="543"/>
      <c r="F63" s="194">
        <v>38.65</v>
      </c>
      <c r="G63" s="197">
        <f>9384.31+(1093.35)+(1464.66)</f>
        <v>11942.32</v>
      </c>
      <c r="H63" s="52" t="s">
        <v>54</v>
      </c>
      <c r="I63" s="57"/>
      <c r="J63" s="3"/>
      <c r="K63" s="5"/>
      <c r="L63" s="3"/>
      <c r="M63" s="3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115" s="6" customFormat="1" x14ac:dyDescent="0.25">
      <c r="A64" s="1"/>
      <c r="B64" s="2"/>
      <c r="C64" s="2"/>
      <c r="D64" s="544" t="s">
        <v>34</v>
      </c>
      <c r="E64" s="545"/>
      <c r="F64" s="195">
        <v>22.3</v>
      </c>
      <c r="G64" s="197">
        <f>D59</f>
        <v>11942.320000000009</v>
      </c>
      <c r="H64" s="52" t="s">
        <v>60</v>
      </c>
      <c r="I64" s="57"/>
      <c r="J64" s="3"/>
      <c r="K64" s="5"/>
      <c r="L64" s="3"/>
      <c r="M64" s="3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s="6" customFormat="1" x14ac:dyDescent="0.25">
      <c r="A65" s="1"/>
      <c r="B65" s="2"/>
      <c r="C65" s="2"/>
      <c r="D65" s="544" t="s">
        <v>85</v>
      </c>
      <c r="E65" s="545"/>
      <c r="F65" s="194">
        <v>282</v>
      </c>
      <c r="G65" s="198">
        <f>G63-G64</f>
        <v>0</v>
      </c>
      <c r="H65" s="53" t="s">
        <v>50</v>
      </c>
      <c r="I65" s="3"/>
      <c r="J65" s="3"/>
      <c r="K65" s="5"/>
      <c r="L65" s="3"/>
      <c r="M65" s="3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s="6" customFormat="1" x14ac:dyDescent="0.25">
      <c r="A66" s="1"/>
      <c r="B66" s="2"/>
      <c r="C66" s="2"/>
      <c r="D66" s="533" t="s">
        <v>50</v>
      </c>
      <c r="E66" s="534"/>
      <c r="F66" s="196">
        <f>F63+F64+F65-F59</f>
        <v>0</v>
      </c>
      <c r="G66" s="84"/>
      <c r="H66" s="85"/>
      <c r="I66" s="3"/>
      <c r="J66" s="3"/>
      <c r="K66" s="5"/>
      <c r="L66" s="3"/>
      <c r="M66" s="3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</sheetData>
  <sheetProtection selectLockedCells="1" selectUnlockedCells="1"/>
  <mergeCells count="10">
    <mergeCell ref="R61:T61"/>
    <mergeCell ref="D63:E63"/>
    <mergeCell ref="D64:E64"/>
    <mergeCell ref="D65:E65"/>
    <mergeCell ref="I60:J60"/>
    <mergeCell ref="A1:B1"/>
    <mergeCell ref="D3:E3"/>
    <mergeCell ref="F3:G3"/>
    <mergeCell ref="D66:E66"/>
    <mergeCell ref="P61:Q61"/>
  </mergeCells>
  <printOptions horizontalCentered="1"/>
  <pageMargins left="0.39374999999999999" right="0.39374999999999999" top="0.51180555555555551" bottom="0.51180555555555551" header="0.51180555555555551" footer="0.51180555555555551"/>
  <pageSetup paperSize="9" scale="80" firstPageNumber="0" orientation="portrait" horizontalDpi="300" verticalDpi="300" r:id="rId1"/>
  <headerFooter alignWithMargins="0">
    <oddHeader>&amp;CINTERGROUPE PARIS-BANLIEUE - IGPB
Trésorerie 2017&amp;R&amp;D</oddHeader>
    <oddFooter>&amp;CJUIN 2017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I1142"/>
  <sheetViews>
    <sheetView showGridLines="0" topLeftCell="A13" workbookViewId="0">
      <selection activeCell="A40" sqref="A40:XFD40"/>
    </sheetView>
  </sheetViews>
  <sheetFormatPr baseColWidth="10" defaultColWidth="10.81640625" defaultRowHeight="10.5" x14ac:dyDescent="0.25"/>
  <cols>
    <col min="1" max="1" width="10.81640625" style="58"/>
    <col min="2" max="2" width="27.3632812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10">
        <v>44750</v>
      </c>
      <c r="B2" s="56" t="s">
        <v>489</v>
      </c>
      <c r="C2" s="205"/>
      <c r="D2" s="204"/>
      <c r="E2" s="204">
        <v>22</v>
      </c>
      <c r="F2" s="204">
        <f t="shared" ref="F2:F16" si="0">SUM(C2:E2)</f>
        <v>22</v>
      </c>
      <c r="G2" s="211" t="s">
        <v>145</v>
      </c>
    </row>
    <row r="3" spans="1:35" ht="13" x14ac:dyDescent="0.3">
      <c r="A3" s="210">
        <v>44750</v>
      </c>
      <c r="B3" s="56" t="s">
        <v>490</v>
      </c>
      <c r="C3" s="205"/>
      <c r="D3" s="204"/>
      <c r="E3" s="204">
        <v>3</v>
      </c>
      <c r="F3" s="204">
        <f>SUM(C3:E3)</f>
        <v>3</v>
      </c>
      <c r="G3" s="211" t="s">
        <v>145</v>
      </c>
    </row>
    <row r="4" spans="1:35" ht="13" x14ac:dyDescent="0.3">
      <c r="A4" s="210">
        <v>44750</v>
      </c>
      <c r="B4" s="56" t="s">
        <v>491</v>
      </c>
      <c r="C4" s="205"/>
      <c r="D4" s="204">
        <v>30</v>
      </c>
      <c r="E4" s="204"/>
      <c r="F4" s="202">
        <f t="shared" si="0"/>
        <v>30</v>
      </c>
      <c r="G4" s="211" t="s">
        <v>145</v>
      </c>
    </row>
    <row r="5" spans="1:35" ht="13" x14ac:dyDescent="0.3">
      <c r="A5" s="210">
        <v>44750</v>
      </c>
      <c r="B5" s="56" t="s">
        <v>492</v>
      </c>
      <c r="C5" s="205"/>
      <c r="D5" s="204"/>
      <c r="E5" s="204">
        <v>1</v>
      </c>
      <c r="F5" s="202">
        <f t="shared" si="0"/>
        <v>1</v>
      </c>
      <c r="G5" s="211" t="s">
        <v>145</v>
      </c>
    </row>
    <row r="6" spans="1:35" ht="13" x14ac:dyDescent="0.3">
      <c r="A6" s="210">
        <v>44750</v>
      </c>
      <c r="B6" s="56" t="s">
        <v>489</v>
      </c>
      <c r="C6" s="205"/>
      <c r="D6" s="204"/>
      <c r="E6" s="204">
        <v>5</v>
      </c>
      <c r="F6" s="202">
        <f t="shared" si="0"/>
        <v>5</v>
      </c>
      <c r="G6" s="211" t="s">
        <v>145</v>
      </c>
    </row>
    <row r="7" spans="1:35" ht="13" x14ac:dyDescent="0.3">
      <c r="A7" s="210">
        <v>44750</v>
      </c>
      <c r="B7" s="56" t="s">
        <v>489</v>
      </c>
      <c r="C7" s="205"/>
      <c r="D7" s="204"/>
      <c r="E7" s="204">
        <v>2</v>
      </c>
      <c r="F7" s="202">
        <f t="shared" si="0"/>
        <v>2</v>
      </c>
      <c r="G7" s="211" t="s">
        <v>145</v>
      </c>
    </row>
    <row r="8" spans="1:35" ht="13" x14ac:dyDescent="0.3">
      <c r="A8" s="210">
        <v>44750</v>
      </c>
      <c r="B8" s="56" t="s">
        <v>493</v>
      </c>
      <c r="C8" s="205"/>
      <c r="D8" s="204"/>
      <c r="E8" s="204">
        <v>0.4</v>
      </c>
      <c r="F8" s="202">
        <f t="shared" si="0"/>
        <v>0.4</v>
      </c>
      <c r="G8" s="211" t="s">
        <v>145</v>
      </c>
    </row>
    <row r="9" spans="1:35" ht="13" x14ac:dyDescent="0.3">
      <c r="A9" s="210">
        <v>44750</v>
      </c>
      <c r="B9" s="56" t="s">
        <v>494</v>
      </c>
      <c r="C9" s="205"/>
      <c r="D9" s="204">
        <v>247.7</v>
      </c>
      <c r="E9" s="205"/>
      <c r="F9" s="202">
        <f t="shared" si="0"/>
        <v>247.7</v>
      </c>
      <c r="G9" s="211" t="s">
        <v>145</v>
      </c>
    </row>
    <row r="10" spans="1:35" s="162" customFormat="1" ht="13" x14ac:dyDescent="0.3">
      <c r="A10" s="210">
        <v>44750</v>
      </c>
      <c r="B10" s="56" t="s">
        <v>495</v>
      </c>
      <c r="C10" s="205"/>
      <c r="D10" s="200">
        <v>12</v>
      </c>
      <c r="E10" s="204"/>
      <c r="F10" s="202">
        <f t="shared" si="0"/>
        <v>12</v>
      </c>
      <c r="G10" s="211" t="s">
        <v>145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" customFormat="1" ht="13" x14ac:dyDescent="0.3">
      <c r="A11" s="210">
        <v>44750</v>
      </c>
      <c r="B11" s="56" t="s">
        <v>496</v>
      </c>
      <c r="C11" s="205"/>
      <c r="D11" s="200">
        <v>97</v>
      </c>
      <c r="E11" s="204"/>
      <c r="F11" s="202">
        <f t="shared" si="0"/>
        <v>97</v>
      </c>
      <c r="G11" s="211" t="s">
        <v>145</v>
      </c>
    </row>
    <row r="12" spans="1:35" s="3" customFormat="1" ht="13" x14ac:dyDescent="0.3">
      <c r="A12" s="210">
        <v>44750</v>
      </c>
      <c r="B12" s="56" t="s">
        <v>488</v>
      </c>
      <c r="C12" s="205"/>
      <c r="D12" s="200"/>
      <c r="E12" s="204">
        <v>1</v>
      </c>
      <c r="F12" s="202">
        <f t="shared" si="0"/>
        <v>1</v>
      </c>
      <c r="G12" s="211" t="s">
        <v>145</v>
      </c>
    </row>
    <row r="13" spans="1:35" s="3" customFormat="1" ht="13" x14ac:dyDescent="0.3">
      <c r="A13" s="210">
        <v>44757</v>
      </c>
      <c r="B13" s="56" t="s">
        <v>499</v>
      </c>
      <c r="C13" s="205"/>
      <c r="D13" s="200"/>
      <c r="E13" s="204">
        <v>7.5</v>
      </c>
      <c r="F13" s="202">
        <f t="shared" si="0"/>
        <v>7.5</v>
      </c>
      <c r="G13" s="211" t="s">
        <v>145</v>
      </c>
    </row>
    <row r="14" spans="1:35" s="3" customFormat="1" ht="13" x14ac:dyDescent="0.3">
      <c r="A14" s="210">
        <v>44757</v>
      </c>
      <c r="B14" s="56" t="s">
        <v>500</v>
      </c>
      <c r="C14" s="205"/>
      <c r="D14" s="200"/>
      <c r="E14" s="204">
        <v>7</v>
      </c>
      <c r="F14" s="202">
        <f t="shared" si="0"/>
        <v>7</v>
      </c>
      <c r="G14" s="211" t="s">
        <v>145</v>
      </c>
    </row>
    <row r="15" spans="1:35" s="3" customFormat="1" ht="13" x14ac:dyDescent="0.3">
      <c r="A15" s="210">
        <v>44757</v>
      </c>
      <c r="B15" s="56" t="s">
        <v>501</v>
      </c>
      <c r="C15" s="205"/>
      <c r="D15" s="200"/>
      <c r="E15" s="204">
        <v>6</v>
      </c>
      <c r="F15" s="202">
        <f t="shared" si="0"/>
        <v>6</v>
      </c>
      <c r="G15" s="211" t="s">
        <v>145</v>
      </c>
    </row>
    <row r="16" spans="1:35" s="3" customFormat="1" ht="13" x14ac:dyDescent="0.3">
      <c r="A16" s="210">
        <v>44757</v>
      </c>
      <c r="B16" s="56" t="s">
        <v>502</v>
      </c>
      <c r="C16" s="205"/>
      <c r="D16" s="200">
        <v>72</v>
      </c>
      <c r="E16" s="204"/>
      <c r="F16" s="202">
        <f t="shared" si="0"/>
        <v>72</v>
      </c>
      <c r="G16" s="211" t="s">
        <v>145</v>
      </c>
    </row>
    <row r="17" spans="1:7" s="3" customFormat="1" ht="13" x14ac:dyDescent="0.3">
      <c r="A17" s="210">
        <v>44757</v>
      </c>
      <c r="B17" s="56" t="s">
        <v>503</v>
      </c>
      <c r="C17" s="205"/>
      <c r="D17" s="200"/>
      <c r="E17" s="204">
        <v>25</v>
      </c>
      <c r="F17" s="202">
        <f t="shared" ref="F17:F23" si="1">SUM(C17:E17)</f>
        <v>25</v>
      </c>
      <c r="G17" s="211" t="s">
        <v>145</v>
      </c>
    </row>
    <row r="18" spans="1:7" s="3" customFormat="1" ht="13" x14ac:dyDescent="0.3">
      <c r="A18" s="210">
        <v>44757</v>
      </c>
      <c r="B18" s="56" t="s">
        <v>504</v>
      </c>
      <c r="C18" s="205"/>
      <c r="D18" s="200">
        <v>25.5</v>
      </c>
      <c r="E18" s="204"/>
      <c r="F18" s="202">
        <f t="shared" si="1"/>
        <v>25.5</v>
      </c>
      <c r="G18" s="211" t="s">
        <v>145</v>
      </c>
    </row>
    <row r="19" spans="1:7" s="3" customFormat="1" ht="13" x14ac:dyDescent="0.3">
      <c r="A19" s="210">
        <v>44757</v>
      </c>
      <c r="B19" s="56" t="s">
        <v>505</v>
      </c>
      <c r="C19" s="205"/>
      <c r="D19" s="200"/>
      <c r="E19" s="204">
        <v>16</v>
      </c>
      <c r="F19" s="202">
        <f t="shared" si="1"/>
        <v>16</v>
      </c>
      <c r="G19" s="211" t="s">
        <v>145</v>
      </c>
    </row>
    <row r="20" spans="1:7" s="3" customFormat="1" ht="13" x14ac:dyDescent="0.3">
      <c r="A20" s="210">
        <v>44757</v>
      </c>
      <c r="B20" s="56" t="s">
        <v>506</v>
      </c>
      <c r="C20" s="205"/>
      <c r="D20" s="200">
        <v>12</v>
      </c>
      <c r="E20" s="204"/>
      <c r="F20" s="202">
        <f t="shared" si="1"/>
        <v>12</v>
      </c>
      <c r="G20" s="211" t="s">
        <v>145</v>
      </c>
    </row>
    <row r="21" spans="1:7" s="3" customFormat="1" ht="13" x14ac:dyDescent="0.3">
      <c r="A21" s="210">
        <v>44766</v>
      </c>
      <c r="B21" s="56" t="s">
        <v>513</v>
      </c>
      <c r="C21" s="205"/>
      <c r="D21" s="200">
        <v>38</v>
      </c>
      <c r="E21" s="204"/>
      <c r="F21" s="202">
        <f t="shared" si="1"/>
        <v>38</v>
      </c>
      <c r="G21" s="211" t="s">
        <v>145</v>
      </c>
    </row>
    <row r="22" spans="1:7" s="3" customFormat="1" ht="13" x14ac:dyDescent="0.3">
      <c r="A22" s="210">
        <v>44766</v>
      </c>
      <c r="B22" s="56" t="s">
        <v>514</v>
      </c>
      <c r="C22" s="205"/>
      <c r="D22" s="200">
        <v>24</v>
      </c>
      <c r="E22" s="204"/>
      <c r="F22" s="202">
        <f t="shared" si="1"/>
        <v>24</v>
      </c>
      <c r="G22" s="211" t="s">
        <v>145</v>
      </c>
    </row>
    <row r="23" spans="1:7" s="3" customFormat="1" ht="13" x14ac:dyDescent="0.3">
      <c r="A23" s="210">
        <v>44766</v>
      </c>
      <c r="B23" s="56" t="s">
        <v>515</v>
      </c>
      <c r="C23" s="205"/>
      <c r="D23" s="200"/>
      <c r="E23" s="204">
        <v>6</v>
      </c>
      <c r="F23" s="202">
        <f t="shared" si="1"/>
        <v>6</v>
      </c>
      <c r="G23" s="211" t="s">
        <v>145</v>
      </c>
    </row>
    <row r="24" spans="1:7" s="3" customFormat="1" ht="13" x14ac:dyDescent="0.3">
      <c r="A24" s="210">
        <v>44766</v>
      </c>
      <c r="B24" s="56" t="s">
        <v>516</v>
      </c>
      <c r="C24" s="205"/>
      <c r="D24" s="200"/>
      <c r="E24" s="204">
        <v>10</v>
      </c>
      <c r="F24" s="202">
        <f t="shared" ref="F24:F26" si="2">SUM(C24:E24)</f>
        <v>10</v>
      </c>
      <c r="G24" s="211" t="s">
        <v>145</v>
      </c>
    </row>
    <row r="25" spans="1:7" s="3" customFormat="1" ht="13" x14ac:dyDescent="0.3">
      <c r="A25" s="210">
        <v>44766</v>
      </c>
      <c r="B25" s="56" t="s">
        <v>516</v>
      </c>
      <c r="C25" s="205"/>
      <c r="D25" s="200"/>
      <c r="E25" s="204">
        <v>2</v>
      </c>
      <c r="F25" s="202">
        <f t="shared" si="2"/>
        <v>2</v>
      </c>
      <c r="G25" s="211" t="s">
        <v>145</v>
      </c>
    </row>
    <row r="26" spans="1:7" s="3" customFormat="1" ht="13" x14ac:dyDescent="0.3">
      <c r="A26" s="210">
        <v>44766</v>
      </c>
      <c r="B26" s="56" t="s">
        <v>516</v>
      </c>
      <c r="C26" s="205"/>
      <c r="D26" s="200"/>
      <c r="E26" s="204">
        <v>30</v>
      </c>
      <c r="F26" s="202">
        <f t="shared" si="2"/>
        <v>30</v>
      </c>
      <c r="G26" s="211" t="s">
        <v>145</v>
      </c>
    </row>
    <row r="27" spans="1:7" s="3" customFormat="1" ht="13" x14ac:dyDescent="0.3">
      <c r="A27" s="210">
        <v>44772</v>
      </c>
      <c r="B27" s="56" t="s">
        <v>521</v>
      </c>
      <c r="C27" s="205"/>
      <c r="D27" s="200">
        <v>150</v>
      </c>
      <c r="E27" s="204"/>
      <c r="F27" s="202">
        <f t="shared" ref="F27:F29" si="3">SUM(C27:E27)</f>
        <v>150</v>
      </c>
      <c r="G27" s="211" t="s">
        <v>145</v>
      </c>
    </row>
    <row r="28" spans="1:7" s="3" customFormat="1" ht="13" x14ac:dyDescent="0.3">
      <c r="A28" s="210">
        <v>44772</v>
      </c>
      <c r="B28" s="56" t="s">
        <v>522</v>
      </c>
      <c r="C28" s="205"/>
      <c r="D28" s="200"/>
      <c r="E28" s="204">
        <v>7.5</v>
      </c>
      <c r="F28" s="202">
        <f t="shared" si="3"/>
        <v>7.5</v>
      </c>
      <c r="G28" s="211" t="s">
        <v>145</v>
      </c>
    </row>
    <row r="29" spans="1:7" s="3" customFormat="1" ht="13" x14ac:dyDescent="0.3">
      <c r="A29" s="210">
        <v>44772</v>
      </c>
      <c r="B29" s="56" t="s">
        <v>523</v>
      </c>
      <c r="C29" s="205"/>
      <c r="D29" s="200">
        <v>12</v>
      </c>
      <c r="E29" s="204"/>
      <c r="F29" s="202">
        <f t="shared" si="3"/>
        <v>12</v>
      </c>
      <c r="G29" s="211" t="s">
        <v>145</v>
      </c>
    </row>
    <row r="30" spans="1:7" s="3" customFormat="1" ht="13" x14ac:dyDescent="0.3">
      <c r="A30" s="210">
        <v>44772</v>
      </c>
      <c r="B30" s="56" t="s">
        <v>524</v>
      </c>
      <c r="C30" s="205"/>
      <c r="D30" s="200"/>
      <c r="E30" s="204">
        <v>30</v>
      </c>
      <c r="F30" s="202">
        <f t="shared" ref="F30:F35" si="4">SUM(C30:E30)</f>
        <v>30</v>
      </c>
      <c r="G30" s="211" t="s">
        <v>145</v>
      </c>
    </row>
    <row r="31" spans="1:7" s="3" customFormat="1" ht="13" x14ac:dyDescent="0.3">
      <c r="A31" s="210">
        <v>44772</v>
      </c>
      <c r="B31" s="56" t="s">
        <v>526</v>
      </c>
      <c r="C31" s="205"/>
      <c r="D31" s="200"/>
      <c r="E31" s="204">
        <v>24</v>
      </c>
      <c r="F31" s="202">
        <f t="shared" si="4"/>
        <v>24</v>
      </c>
      <c r="G31" s="211" t="s">
        <v>145</v>
      </c>
    </row>
    <row r="32" spans="1:7" s="3" customFormat="1" ht="13" x14ac:dyDescent="0.3">
      <c r="A32" s="210">
        <v>44772</v>
      </c>
      <c r="B32" s="56" t="s">
        <v>525</v>
      </c>
      <c r="C32" s="205"/>
      <c r="D32" s="200">
        <v>132</v>
      </c>
      <c r="E32" s="204"/>
      <c r="F32" s="202">
        <f t="shared" si="4"/>
        <v>132</v>
      </c>
      <c r="G32" s="211" t="s">
        <v>145</v>
      </c>
    </row>
    <row r="33" spans="1:7" s="3" customFormat="1" ht="13" x14ac:dyDescent="0.3">
      <c r="A33" s="210">
        <v>44772</v>
      </c>
      <c r="B33" s="56" t="s">
        <v>527</v>
      </c>
      <c r="C33" s="205"/>
      <c r="D33" s="200"/>
      <c r="E33" s="204">
        <v>103</v>
      </c>
      <c r="F33" s="202">
        <f t="shared" si="4"/>
        <v>103</v>
      </c>
      <c r="G33" s="211" t="s">
        <v>145</v>
      </c>
    </row>
    <row r="34" spans="1:7" s="3" customFormat="1" ht="13" x14ac:dyDescent="0.3">
      <c r="A34" s="210">
        <v>44772</v>
      </c>
      <c r="B34" s="56" t="s">
        <v>528</v>
      </c>
      <c r="C34" s="205"/>
      <c r="D34" s="200">
        <v>30</v>
      </c>
      <c r="E34" s="204"/>
      <c r="F34" s="202">
        <f t="shared" si="4"/>
        <v>30</v>
      </c>
      <c r="G34" s="211" t="s">
        <v>145</v>
      </c>
    </row>
    <row r="35" spans="1:7" s="3" customFormat="1" ht="13" x14ac:dyDescent="0.3">
      <c r="A35" s="210">
        <v>44772</v>
      </c>
      <c r="B35" s="56" t="s">
        <v>529</v>
      </c>
      <c r="C35" s="205"/>
      <c r="D35" s="200"/>
      <c r="E35" s="204">
        <v>50</v>
      </c>
      <c r="F35" s="202">
        <f t="shared" si="4"/>
        <v>50</v>
      </c>
      <c r="G35" s="211" t="s">
        <v>145</v>
      </c>
    </row>
    <row r="36" spans="1:7" s="3" customFormat="1" ht="13" x14ac:dyDescent="0.3">
      <c r="A36" s="210">
        <v>44772</v>
      </c>
      <c r="B36" s="56" t="s">
        <v>530</v>
      </c>
      <c r="C36" s="205"/>
      <c r="D36" s="200">
        <v>105.5</v>
      </c>
      <c r="E36" s="204"/>
      <c r="F36" s="202">
        <f t="shared" ref="F36:F38" si="5">SUM(C36:E36)</f>
        <v>105.5</v>
      </c>
      <c r="G36" s="211" t="s">
        <v>145</v>
      </c>
    </row>
    <row r="37" spans="1:7" s="3" customFormat="1" ht="13" x14ac:dyDescent="0.3">
      <c r="A37" s="210">
        <v>44772</v>
      </c>
      <c r="B37" s="56" t="s">
        <v>522</v>
      </c>
      <c r="C37" s="205"/>
      <c r="D37" s="200"/>
      <c r="E37" s="204">
        <v>89</v>
      </c>
      <c r="F37" s="202">
        <f t="shared" si="5"/>
        <v>89</v>
      </c>
      <c r="G37" s="211" t="s">
        <v>145</v>
      </c>
    </row>
    <row r="38" spans="1:7" s="3" customFormat="1" ht="13" x14ac:dyDescent="0.3">
      <c r="A38" s="210">
        <v>44772</v>
      </c>
      <c r="B38" s="56" t="s">
        <v>531</v>
      </c>
      <c r="C38" s="205"/>
      <c r="D38" s="200">
        <v>49</v>
      </c>
      <c r="E38" s="204"/>
      <c r="F38" s="202">
        <f t="shared" si="5"/>
        <v>49</v>
      </c>
      <c r="G38" s="211" t="s">
        <v>145</v>
      </c>
    </row>
    <row r="39" spans="1:7" s="3" customFormat="1" ht="13" x14ac:dyDescent="0.3">
      <c r="A39" s="210">
        <v>44772</v>
      </c>
      <c r="B39" s="56" t="s">
        <v>531</v>
      </c>
      <c r="C39" s="205"/>
      <c r="D39" s="200"/>
      <c r="E39" s="204">
        <v>2</v>
      </c>
      <c r="F39" s="202">
        <f t="shared" ref="F39" si="6">SUM(C39:E39)</f>
        <v>2</v>
      </c>
      <c r="G39" s="211" t="s">
        <v>145</v>
      </c>
    </row>
    <row r="40" spans="1:7" s="3" customFormat="1" ht="13" thickBot="1" x14ac:dyDescent="0.3">
      <c r="A40" s="212"/>
      <c r="B40" s="213" t="s">
        <v>0</v>
      </c>
      <c r="C40" s="214">
        <f>SUM(C2:C39)</f>
        <v>0</v>
      </c>
      <c r="D40" s="214">
        <f>SUM(D2:D39)</f>
        <v>1036.7</v>
      </c>
      <c r="E40" s="214">
        <f>SUM(E2:E39)</f>
        <v>449.4</v>
      </c>
      <c r="F40" s="215">
        <f>SUM(C40:E40)</f>
        <v>1486.1</v>
      </c>
      <c r="G40" s="216"/>
    </row>
    <row r="41" spans="1:7" s="3" customFormat="1" ht="11" thickTop="1" x14ac:dyDescent="0.25">
      <c r="D41" s="1"/>
      <c r="E41" s="1"/>
    </row>
    <row r="42" spans="1:7" s="3" customFormat="1" x14ac:dyDescent="0.25">
      <c r="D42" s="1"/>
      <c r="E42" s="1"/>
    </row>
    <row r="43" spans="1:7" s="3" customFormat="1" x14ac:dyDescent="0.25">
      <c r="D43" s="1"/>
      <c r="E43" s="1"/>
    </row>
    <row r="44" spans="1:7" s="3" customFormat="1" x14ac:dyDescent="0.25">
      <c r="D44" s="1"/>
      <c r="E44" s="1"/>
    </row>
    <row r="45" spans="1:7" s="3" customFormat="1" x14ac:dyDescent="0.25">
      <c r="D45" s="1"/>
      <c r="E45" s="1"/>
    </row>
    <row r="46" spans="1:7" s="3" customFormat="1" x14ac:dyDescent="0.25">
      <c r="D46" s="1"/>
      <c r="E46" s="1"/>
    </row>
    <row r="47" spans="1:7" s="3" customFormat="1" x14ac:dyDescent="0.25">
      <c r="D47" s="1"/>
      <c r="E47" s="1"/>
    </row>
    <row r="48" spans="1:7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  <row r="1133" spans="4:5" s="3" customFormat="1" x14ac:dyDescent="0.25">
      <c r="D1133" s="1"/>
      <c r="E1133" s="1"/>
    </row>
    <row r="1134" spans="4:5" s="3" customFormat="1" x14ac:dyDescent="0.25">
      <c r="D1134" s="1"/>
      <c r="E1134" s="1"/>
    </row>
    <row r="1135" spans="4:5" s="3" customFormat="1" x14ac:dyDescent="0.25">
      <c r="D1135" s="1"/>
      <c r="E1135" s="1"/>
    </row>
    <row r="1136" spans="4:5" s="3" customFormat="1" x14ac:dyDescent="0.25">
      <c r="D1136" s="1"/>
      <c r="E1136" s="1"/>
    </row>
    <row r="1137" spans="4:5" s="3" customFormat="1" x14ac:dyDescent="0.25">
      <c r="D1137" s="1"/>
      <c r="E1137" s="1"/>
    </row>
    <row r="1138" spans="4:5" s="3" customFormat="1" x14ac:dyDescent="0.25">
      <c r="D1138" s="1"/>
      <c r="E1138" s="1"/>
    </row>
    <row r="1139" spans="4:5" s="3" customFormat="1" x14ac:dyDescent="0.25">
      <c r="D1139" s="1"/>
      <c r="E1139" s="1"/>
    </row>
    <row r="1140" spans="4:5" s="3" customFormat="1" x14ac:dyDescent="0.25">
      <c r="D1140" s="1"/>
      <c r="E1140" s="1"/>
    </row>
    <row r="1141" spans="4:5" s="3" customFormat="1" x14ac:dyDescent="0.25">
      <c r="D1141" s="1"/>
      <c r="E1141" s="1"/>
    </row>
    <row r="1142" spans="4:5" s="3" customFormat="1" x14ac:dyDescent="0.25">
      <c r="D1142" s="1"/>
      <c r="E1142" s="1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I1122"/>
  <sheetViews>
    <sheetView showGridLines="0" zoomScaleNormal="100" workbookViewId="0">
      <selection activeCell="B25" sqref="B25"/>
    </sheetView>
  </sheetViews>
  <sheetFormatPr baseColWidth="10" defaultColWidth="10.81640625" defaultRowHeight="10.5" x14ac:dyDescent="0.25"/>
  <cols>
    <col min="1" max="1" width="10.81640625" style="58"/>
    <col min="2" max="2" width="26.45312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" thickTop="1" x14ac:dyDescent="0.25">
      <c r="A1" s="206" t="s">
        <v>55</v>
      </c>
      <c r="B1" s="208"/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2.5" x14ac:dyDescent="0.25">
      <c r="A2" s="210">
        <v>44565</v>
      </c>
      <c r="B2" s="56" t="s">
        <v>143</v>
      </c>
      <c r="C2" s="199">
        <v>203.52</v>
      </c>
      <c r="D2" s="200"/>
      <c r="E2" s="201"/>
      <c r="F2" s="202">
        <f t="shared" ref="F2:F11" si="0">SUM(C2:E2)</f>
        <v>203.52</v>
      </c>
      <c r="G2" s="217" t="s">
        <v>145</v>
      </c>
    </row>
    <row r="3" spans="1:35" ht="12.5" x14ac:dyDescent="0.25">
      <c r="A3" s="210">
        <v>44565</v>
      </c>
      <c r="B3" s="56" t="s">
        <v>144</v>
      </c>
      <c r="C3" s="199">
        <v>58.34</v>
      </c>
      <c r="D3" s="200"/>
      <c r="E3" s="203"/>
      <c r="F3" s="202">
        <f t="shared" si="0"/>
        <v>58.34</v>
      </c>
      <c r="G3" s="217" t="s">
        <v>145</v>
      </c>
    </row>
    <row r="4" spans="1:35" ht="12.5" x14ac:dyDescent="0.25">
      <c r="A4" s="210">
        <v>44566</v>
      </c>
      <c r="B4" s="56" t="s">
        <v>141</v>
      </c>
      <c r="C4" s="199">
        <v>50</v>
      </c>
      <c r="D4" s="200"/>
      <c r="E4" s="203"/>
      <c r="F4" s="204">
        <f t="shared" si="0"/>
        <v>50</v>
      </c>
      <c r="G4" s="217" t="s">
        <v>145</v>
      </c>
    </row>
    <row r="5" spans="1:35" ht="12.5" x14ac:dyDescent="0.25">
      <c r="A5" s="210">
        <v>44566</v>
      </c>
      <c r="B5" s="56" t="s">
        <v>142</v>
      </c>
      <c r="C5" s="199">
        <v>23.26</v>
      </c>
      <c r="D5" s="200"/>
      <c r="E5" s="203"/>
      <c r="F5" s="204">
        <f t="shared" si="0"/>
        <v>23.26</v>
      </c>
      <c r="G5" s="217" t="s">
        <v>145</v>
      </c>
    </row>
    <row r="6" spans="1:35" ht="12.5" x14ac:dyDescent="0.25">
      <c r="A6" s="273">
        <v>44571</v>
      </c>
      <c r="B6" s="231" t="s">
        <v>170</v>
      </c>
      <c r="C6" s="199">
        <v>60</v>
      </c>
      <c r="D6" s="200"/>
      <c r="E6" s="203"/>
      <c r="F6" s="204">
        <f t="shared" si="0"/>
        <v>60</v>
      </c>
      <c r="G6" s="217" t="s">
        <v>145</v>
      </c>
    </row>
    <row r="7" spans="1:35" ht="12.5" x14ac:dyDescent="0.25">
      <c r="A7" s="210">
        <v>44572</v>
      </c>
      <c r="B7" s="56" t="s">
        <v>171</v>
      </c>
      <c r="C7" s="199">
        <v>100.8</v>
      </c>
      <c r="D7" s="200"/>
      <c r="E7" s="203"/>
      <c r="F7" s="204">
        <f t="shared" si="0"/>
        <v>100.8</v>
      </c>
      <c r="G7" s="217" t="s">
        <v>145</v>
      </c>
    </row>
    <row r="8" spans="1:35" ht="12.5" x14ac:dyDescent="0.25">
      <c r="A8" s="210">
        <v>44581</v>
      </c>
      <c r="B8" s="56" t="s">
        <v>194</v>
      </c>
      <c r="C8" s="199">
        <v>50</v>
      </c>
      <c r="D8" s="200"/>
      <c r="E8" s="203"/>
      <c r="F8" s="204">
        <f t="shared" si="0"/>
        <v>50</v>
      </c>
      <c r="G8" s="217" t="s">
        <v>145</v>
      </c>
    </row>
    <row r="9" spans="1:35" ht="12.5" x14ac:dyDescent="0.25">
      <c r="A9" s="273">
        <v>44583</v>
      </c>
      <c r="B9" s="231" t="s">
        <v>195</v>
      </c>
      <c r="C9" s="199">
        <v>136</v>
      </c>
      <c r="D9" s="200"/>
      <c r="E9" s="203"/>
      <c r="F9" s="204">
        <f t="shared" si="0"/>
        <v>136</v>
      </c>
      <c r="G9" s="217" t="s">
        <v>145</v>
      </c>
    </row>
    <row r="10" spans="1:35" ht="12.5" x14ac:dyDescent="0.25">
      <c r="A10" s="273">
        <v>44586</v>
      </c>
      <c r="B10" s="231" t="s">
        <v>196</v>
      </c>
      <c r="C10" s="199">
        <v>50</v>
      </c>
      <c r="D10" s="200"/>
      <c r="E10" s="203"/>
      <c r="F10" s="204">
        <f t="shared" si="0"/>
        <v>50</v>
      </c>
      <c r="G10" s="217" t="s">
        <v>145</v>
      </c>
    </row>
    <row r="11" spans="1:35" ht="12.5" x14ac:dyDescent="0.25">
      <c r="A11" s="210">
        <v>44590</v>
      </c>
      <c r="B11" s="56" t="s">
        <v>142</v>
      </c>
      <c r="C11" s="199">
        <v>27</v>
      </c>
      <c r="D11" s="200"/>
      <c r="E11" s="203"/>
      <c r="F11" s="204">
        <f t="shared" si="0"/>
        <v>27</v>
      </c>
      <c r="G11" s="217" t="s">
        <v>145</v>
      </c>
    </row>
    <row r="12" spans="1:35" s="162" customFormat="1" ht="13" thickBot="1" x14ac:dyDescent="0.3">
      <c r="A12" s="212"/>
      <c r="B12" s="213" t="s">
        <v>0</v>
      </c>
      <c r="C12" s="214">
        <f>SUM(C2:C11)</f>
        <v>758.92000000000007</v>
      </c>
      <c r="D12" s="214">
        <f>SUM(D2:D11)</f>
        <v>0</v>
      </c>
      <c r="E12" s="214">
        <f>SUM(E2:E11)</f>
        <v>0</v>
      </c>
      <c r="F12" s="215">
        <f>SUM(F2:F11)</f>
        <v>758.92000000000007</v>
      </c>
      <c r="G12" s="21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3" customFormat="1" ht="11" thickTop="1" x14ac:dyDescent="0.25">
      <c r="D13" s="1"/>
      <c r="E13" s="1"/>
    </row>
    <row r="14" spans="1:35" s="3" customFormat="1" x14ac:dyDescent="0.25">
      <c r="D14" s="1"/>
      <c r="E14" s="1"/>
    </row>
    <row r="15" spans="1:35" s="3" customFormat="1" x14ac:dyDescent="0.25">
      <c r="D15" s="1"/>
      <c r="E15" s="1"/>
    </row>
    <row r="16" spans="1:35" s="3" customFormat="1" x14ac:dyDescent="0.25">
      <c r="D16" s="1"/>
      <c r="E16" s="1"/>
    </row>
    <row r="17" spans="4:5" s="3" customFormat="1" x14ac:dyDescent="0.25">
      <c r="D17" s="1"/>
      <c r="E17" s="1"/>
    </row>
    <row r="18" spans="4:5" s="3" customFormat="1" x14ac:dyDescent="0.25">
      <c r="D18" s="1"/>
      <c r="E18" s="1"/>
    </row>
    <row r="19" spans="4:5" s="3" customFormat="1" x14ac:dyDescent="0.25">
      <c r="D19" s="1"/>
      <c r="E19" s="1"/>
    </row>
    <row r="20" spans="4:5" s="3" customFormat="1" x14ac:dyDescent="0.25">
      <c r="D20" s="1"/>
      <c r="E20" s="1"/>
    </row>
    <row r="21" spans="4:5" s="3" customFormat="1" x14ac:dyDescent="0.25">
      <c r="D21" s="1"/>
      <c r="E21" s="1"/>
    </row>
    <row r="22" spans="4:5" s="3" customFormat="1" x14ac:dyDescent="0.25">
      <c r="D22" s="1"/>
      <c r="E22" s="1"/>
    </row>
    <row r="23" spans="4:5" s="3" customFormat="1" x14ac:dyDescent="0.25">
      <c r="D23" s="1"/>
      <c r="E23" s="1"/>
    </row>
    <row r="24" spans="4:5" s="3" customFormat="1" x14ac:dyDescent="0.25">
      <c r="D24" s="1"/>
      <c r="E24" s="1"/>
    </row>
    <row r="25" spans="4:5" s="3" customFormat="1" x14ac:dyDescent="0.25">
      <c r="D25" s="1"/>
      <c r="E25" s="1"/>
    </row>
    <row r="26" spans="4:5" s="3" customFormat="1" x14ac:dyDescent="0.25">
      <c r="D26" s="1"/>
      <c r="E26" s="1"/>
    </row>
    <row r="27" spans="4:5" s="3" customFormat="1" x14ac:dyDescent="0.25">
      <c r="D27" s="1"/>
      <c r="E27" s="1"/>
    </row>
    <row r="28" spans="4:5" s="3" customFormat="1" x14ac:dyDescent="0.25">
      <c r="D28" s="1"/>
      <c r="E28" s="1"/>
    </row>
    <row r="29" spans="4:5" s="3" customFormat="1" x14ac:dyDescent="0.25">
      <c r="D29" s="1"/>
      <c r="E29" s="1"/>
    </row>
    <row r="30" spans="4:5" s="3" customFormat="1" x14ac:dyDescent="0.25">
      <c r="D30" s="1"/>
      <c r="E30" s="1"/>
    </row>
    <row r="31" spans="4:5" s="3" customFormat="1" x14ac:dyDescent="0.25">
      <c r="D31" s="1"/>
      <c r="E31" s="1"/>
    </row>
    <row r="32" spans="4: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</sheetData>
  <sheetProtection selectLockedCells="1" selectUnlockedCells="1"/>
  <pageMargins left="0.7" right="0.7" top="0.75" bottom="0.75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I1132"/>
  <sheetViews>
    <sheetView showGridLines="0" workbookViewId="0">
      <selection activeCell="A22" sqref="A22:XFD22"/>
    </sheetView>
  </sheetViews>
  <sheetFormatPr baseColWidth="10" defaultColWidth="10.81640625" defaultRowHeight="10.5" x14ac:dyDescent="0.25"/>
  <cols>
    <col min="1" max="1" width="10.81640625" style="58"/>
    <col min="2" max="2" width="23.90625" style="58" bestFit="1" customWidth="1"/>
    <col min="3" max="3" width="10.81640625" style="58"/>
    <col min="4" max="4" width="10.81640625" style="153" bestFit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7" ht="13" thickTop="1" x14ac:dyDescent="0.25">
      <c r="A1" s="206" t="s">
        <v>55</v>
      </c>
      <c r="B1" s="208"/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7" ht="12.5" x14ac:dyDescent="0.25">
      <c r="A2" s="210">
        <v>44743</v>
      </c>
      <c r="B2" s="56" t="s">
        <v>520</v>
      </c>
      <c r="C2" s="199">
        <v>34</v>
      </c>
      <c r="D2" s="200"/>
      <c r="E2" s="201"/>
      <c r="F2" s="202">
        <f t="shared" ref="F2:F11" si="0">SUM(C2:E2)</f>
        <v>34</v>
      </c>
      <c r="G2" s="217" t="s">
        <v>145</v>
      </c>
    </row>
    <row r="3" spans="1:7" ht="12.5" x14ac:dyDescent="0.25">
      <c r="A3" s="210">
        <v>44743</v>
      </c>
      <c r="B3" s="56" t="s">
        <v>363</v>
      </c>
      <c r="C3" s="199"/>
      <c r="D3" s="200">
        <v>150</v>
      </c>
      <c r="E3" s="203"/>
      <c r="F3" s="202">
        <f t="shared" si="0"/>
        <v>150</v>
      </c>
      <c r="G3" s="217" t="s">
        <v>145</v>
      </c>
    </row>
    <row r="4" spans="1:7" ht="12.5" x14ac:dyDescent="0.25">
      <c r="A4" s="210">
        <v>44743</v>
      </c>
      <c r="B4" s="56" t="s">
        <v>344</v>
      </c>
      <c r="C4" s="199">
        <v>40</v>
      </c>
      <c r="D4" s="200"/>
      <c r="E4" s="203"/>
      <c r="F4" s="204">
        <f t="shared" si="0"/>
        <v>40</v>
      </c>
      <c r="G4" s="217" t="s">
        <v>145</v>
      </c>
    </row>
    <row r="5" spans="1:7" ht="12.5" x14ac:dyDescent="0.25">
      <c r="A5" s="210">
        <v>44743</v>
      </c>
      <c r="B5" s="56" t="s">
        <v>298</v>
      </c>
      <c r="C5" s="199">
        <v>40</v>
      </c>
      <c r="D5" s="200"/>
      <c r="E5" s="203"/>
      <c r="F5" s="204">
        <f t="shared" si="0"/>
        <v>40</v>
      </c>
      <c r="G5" s="217" t="s">
        <v>145</v>
      </c>
    </row>
    <row r="6" spans="1:7" ht="12.5" x14ac:dyDescent="0.25">
      <c r="A6" s="210">
        <v>44747</v>
      </c>
      <c r="B6" s="56" t="s">
        <v>424</v>
      </c>
      <c r="C6" s="199">
        <v>70</v>
      </c>
      <c r="D6" s="200"/>
      <c r="E6" s="203"/>
      <c r="F6" s="204">
        <f t="shared" si="0"/>
        <v>70</v>
      </c>
      <c r="G6" s="217" t="s">
        <v>145</v>
      </c>
    </row>
    <row r="7" spans="1:7" ht="12.5" x14ac:dyDescent="0.25">
      <c r="A7" s="210">
        <v>44750</v>
      </c>
      <c r="B7" s="56" t="s">
        <v>306</v>
      </c>
      <c r="C7" s="199">
        <v>141.24</v>
      </c>
      <c r="D7" s="200"/>
      <c r="E7" s="203"/>
      <c r="F7" s="204">
        <f t="shared" si="0"/>
        <v>141.24</v>
      </c>
      <c r="G7" s="217" t="s">
        <v>145</v>
      </c>
    </row>
    <row r="8" spans="1:7" ht="12.5" x14ac:dyDescent="0.25">
      <c r="A8" s="210">
        <v>44752</v>
      </c>
      <c r="B8" s="56" t="s">
        <v>195</v>
      </c>
      <c r="C8" s="199">
        <v>306</v>
      </c>
      <c r="D8" s="200"/>
      <c r="E8" s="203"/>
      <c r="F8" s="204">
        <f t="shared" si="0"/>
        <v>306</v>
      </c>
      <c r="G8" s="217" t="s">
        <v>145</v>
      </c>
    </row>
    <row r="9" spans="1:7" ht="12.5" x14ac:dyDescent="0.25">
      <c r="A9" s="210">
        <v>44757</v>
      </c>
      <c r="B9" s="56" t="s">
        <v>231</v>
      </c>
      <c r="C9" s="199"/>
      <c r="D9" s="200">
        <v>30</v>
      </c>
      <c r="E9" s="203"/>
      <c r="F9" s="204">
        <f t="shared" si="0"/>
        <v>30</v>
      </c>
      <c r="G9" s="217" t="s">
        <v>145</v>
      </c>
    </row>
    <row r="10" spans="1:7" ht="12.5" x14ac:dyDescent="0.25">
      <c r="A10" s="210">
        <v>44757</v>
      </c>
      <c r="B10" s="56" t="s">
        <v>427</v>
      </c>
      <c r="C10" s="199"/>
      <c r="D10" s="200">
        <v>50</v>
      </c>
      <c r="E10" s="203"/>
      <c r="F10" s="204">
        <f t="shared" si="0"/>
        <v>50</v>
      </c>
      <c r="G10" s="217" t="s">
        <v>145</v>
      </c>
    </row>
    <row r="11" spans="1:7" ht="12.5" x14ac:dyDescent="0.25">
      <c r="A11" s="210">
        <v>44757</v>
      </c>
      <c r="B11" s="56" t="s">
        <v>498</v>
      </c>
      <c r="C11" s="199"/>
      <c r="D11" s="200">
        <v>60</v>
      </c>
      <c r="E11" s="203"/>
      <c r="F11" s="204">
        <f t="shared" si="0"/>
        <v>60</v>
      </c>
      <c r="G11" s="217" t="s">
        <v>145</v>
      </c>
    </row>
    <row r="12" spans="1:7" ht="12.5" x14ac:dyDescent="0.25">
      <c r="A12" s="210">
        <v>44758</v>
      </c>
      <c r="B12" s="56" t="s">
        <v>436</v>
      </c>
      <c r="C12" s="199">
        <v>100.02</v>
      </c>
      <c r="D12" s="200"/>
      <c r="E12" s="203"/>
      <c r="F12" s="204">
        <f t="shared" ref="F12:F14" si="1">SUM(C12:E12)</f>
        <v>100.02</v>
      </c>
      <c r="G12" s="217" t="s">
        <v>145</v>
      </c>
    </row>
    <row r="13" spans="1:7" ht="12.5" x14ac:dyDescent="0.25">
      <c r="A13" s="210">
        <v>44760</v>
      </c>
      <c r="B13" s="56" t="s">
        <v>283</v>
      </c>
      <c r="C13" s="199">
        <v>100</v>
      </c>
      <c r="D13" s="200"/>
      <c r="E13" s="203"/>
      <c r="F13" s="204">
        <f t="shared" si="1"/>
        <v>100</v>
      </c>
      <c r="G13" s="217" t="s">
        <v>145</v>
      </c>
    </row>
    <row r="14" spans="1:7" ht="12.5" x14ac:dyDescent="0.25">
      <c r="A14" s="210">
        <v>44762</v>
      </c>
      <c r="B14" s="56" t="s">
        <v>512</v>
      </c>
      <c r="C14" s="199">
        <v>150</v>
      </c>
      <c r="D14" s="200"/>
      <c r="E14" s="203"/>
      <c r="F14" s="204">
        <f t="shared" si="1"/>
        <v>150</v>
      </c>
      <c r="G14" s="217" t="s">
        <v>145</v>
      </c>
    </row>
    <row r="15" spans="1:7" ht="12.5" x14ac:dyDescent="0.25">
      <c r="A15" s="210">
        <v>44767</v>
      </c>
      <c r="B15" s="56" t="s">
        <v>380</v>
      </c>
      <c r="C15" s="199">
        <v>100</v>
      </c>
      <c r="D15" s="200"/>
      <c r="E15" s="203"/>
      <c r="F15" s="204">
        <f t="shared" ref="F15:F17" si="2">SUM(C15:E15)</f>
        <v>100</v>
      </c>
      <c r="G15" s="217" t="s">
        <v>145</v>
      </c>
    </row>
    <row r="16" spans="1:7" ht="12.5" x14ac:dyDescent="0.25">
      <c r="A16" s="210">
        <v>44768</v>
      </c>
      <c r="B16" s="56" t="s">
        <v>232</v>
      </c>
      <c r="C16" s="199">
        <v>65</v>
      </c>
      <c r="D16" s="200"/>
      <c r="E16" s="203"/>
      <c r="F16" s="204">
        <f t="shared" si="2"/>
        <v>65</v>
      </c>
      <c r="G16" s="217" t="s">
        <v>145</v>
      </c>
    </row>
    <row r="17" spans="1:35" ht="12.5" x14ac:dyDescent="0.25">
      <c r="A17" s="210">
        <v>44769</v>
      </c>
      <c r="B17" s="56" t="s">
        <v>518</v>
      </c>
      <c r="C17" s="199"/>
      <c r="D17" s="200">
        <v>60.83</v>
      </c>
      <c r="E17" s="203"/>
      <c r="F17" s="204">
        <f t="shared" si="2"/>
        <v>60.83</v>
      </c>
      <c r="G17" s="217" t="s">
        <v>145</v>
      </c>
    </row>
    <row r="18" spans="1:35" ht="12.5" x14ac:dyDescent="0.25">
      <c r="A18" s="210">
        <v>44771</v>
      </c>
      <c r="B18" s="56" t="s">
        <v>520</v>
      </c>
      <c r="C18" s="199">
        <v>29</v>
      </c>
      <c r="D18" s="200"/>
      <c r="E18" s="203"/>
      <c r="F18" s="204">
        <f t="shared" ref="F18" si="3">SUM(C18:E18)</f>
        <v>29</v>
      </c>
      <c r="G18" s="217" t="s">
        <v>145</v>
      </c>
    </row>
    <row r="19" spans="1:35" ht="12.5" x14ac:dyDescent="0.25">
      <c r="A19" s="210">
        <v>44772</v>
      </c>
      <c r="B19" s="56" t="s">
        <v>351</v>
      </c>
      <c r="C19" s="199">
        <v>70</v>
      </c>
      <c r="D19" s="200"/>
      <c r="E19" s="203"/>
      <c r="F19" s="204">
        <f t="shared" ref="F19:F20" si="4">SUM(C19:E19)</f>
        <v>70</v>
      </c>
      <c r="G19" s="217" t="s">
        <v>145</v>
      </c>
    </row>
    <row r="20" spans="1:35" ht="12.5" x14ac:dyDescent="0.25">
      <c r="A20" s="210">
        <v>44772</v>
      </c>
      <c r="B20" s="56" t="s">
        <v>194</v>
      </c>
      <c r="C20" s="199">
        <v>50</v>
      </c>
      <c r="D20" s="200"/>
      <c r="E20" s="203"/>
      <c r="F20" s="204">
        <f t="shared" si="4"/>
        <v>50</v>
      </c>
      <c r="G20" s="217" t="s">
        <v>145</v>
      </c>
    </row>
    <row r="21" spans="1:35" ht="12.5" x14ac:dyDescent="0.25">
      <c r="A21" s="210">
        <v>44773</v>
      </c>
      <c r="B21" s="56" t="s">
        <v>426</v>
      </c>
      <c r="C21" s="199">
        <v>50</v>
      </c>
      <c r="D21" s="200"/>
      <c r="E21" s="203"/>
      <c r="F21" s="204">
        <f t="shared" ref="F21" si="5">SUM(C21:E21)</f>
        <v>50</v>
      </c>
      <c r="G21" s="217" t="s">
        <v>145</v>
      </c>
    </row>
    <row r="22" spans="1:35" s="162" customFormat="1" ht="13" thickBot="1" x14ac:dyDescent="0.3">
      <c r="A22" s="212"/>
      <c r="B22" s="213" t="s">
        <v>0</v>
      </c>
      <c r="C22" s="214">
        <f>SUM(C2:C21)</f>
        <v>1345.26</v>
      </c>
      <c r="D22" s="214">
        <f>SUM(D2:D21)</f>
        <v>350.83</v>
      </c>
      <c r="E22" s="214">
        <f>SUM(E2:E21)</f>
        <v>0</v>
      </c>
      <c r="F22" s="215">
        <f>SUM(F2:F21)</f>
        <v>1696.09</v>
      </c>
      <c r="G22" s="2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s="3" customFormat="1" ht="11" thickTop="1" x14ac:dyDescent="0.25">
      <c r="D23" s="1"/>
      <c r="E23" s="1"/>
    </row>
    <row r="24" spans="1:35" s="3" customFormat="1" x14ac:dyDescent="0.25">
      <c r="D24" s="1"/>
      <c r="E24" s="1"/>
    </row>
    <row r="25" spans="1:35" s="3" customFormat="1" x14ac:dyDescent="0.25">
      <c r="D25" s="1"/>
      <c r="E25" s="1"/>
    </row>
    <row r="26" spans="1:35" s="3" customFormat="1" x14ac:dyDescent="0.25">
      <c r="D26" s="1"/>
      <c r="E26" s="1"/>
    </row>
    <row r="27" spans="1:35" s="3" customFormat="1" x14ac:dyDescent="0.25">
      <c r="D27" s="1"/>
      <c r="E27" s="1"/>
    </row>
    <row r="28" spans="1:35" s="3" customFormat="1" x14ac:dyDescent="0.25">
      <c r="D28" s="1"/>
      <c r="E28" s="1"/>
    </row>
    <row r="29" spans="1:35" s="3" customFormat="1" x14ac:dyDescent="0.25">
      <c r="D29" s="1"/>
      <c r="E29" s="1"/>
    </row>
    <row r="30" spans="1:35" s="3" customFormat="1" x14ac:dyDescent="0.25">
      <c r="D30" s="1"/>
      <c r="E30" s="1"/>
    </row>
    <row r="31" spans="1:35" s="3" customFormat="1" x14ac:dyDescent="0.25">
      <c r="D31" s="1"/>
      <c r="E31" s="1"/>
    </row>
    <row r="32" spans="1:3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K91"/>
  <sheetViews>
    <sheetView showGridLines="0" topLeftCell="A57" zoomScale="84" zoomScaleNormal="84" workbookViewId="0">
      <selection activeCell="N90" sqref="N90"/>
    </sheetView>
  </sheetViews>
  <sheetFormatPr baseColWidth="10" defaultRowHeight="12.5" x14ac:dyDescent="0.25"/>
  <cols>
    <col min="1" max="1" width="9.81640625" customWidth="1"/>
    <col min="2" max="2" width="31.5429687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72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f>'06 2022'!D59</f>
        <v>11942.320000000009</v>
      </c>
      <c r="E5" s="179"/>
      <c r="F5" s="180">
        <f>'06 2022'!F59</f>
        <v>342.95000000000005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12285.27000000001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170" customFormat="1" ht="12" customHeight="1" x14ac:dyDescent="0.25">
      <c r="A6" s="271">
        <v>44743</v>
      </c>
      <c r="B6" s="222" t="s">
        <v>519</v>
      </c>
      <c r="C6" s="272" t="s">
        <v>145</v>
      </c>
      <c r="D6" s="283">
        <v>34</v>
      </c>
      <c r="E6" s="223"/>
      <c r="F6" s="224"/>
      <c r="G6" s="284"/>
      <c r="H6" s="302"/>
      <c r="I6" s="225">
        <v>34</v>
      </c>
      <c r="J6" s="225"/>
      <c r="K6" s="226"/>
      <c r="L6" s="225"/>
      <c r="M6" s="225"/>
      <c r="N6" s="225"/>
      <c r="O6" s="303"/>
      <c r="P6" s="316"/>
      <c r="Q6" s="227"/>
      <c r="R6" s="227"/>
      <c r="S6" s="227"/>
      <c r="T6" s="227"/>
      <c r="U6" s="228"/>
      <c r="V6" s="227"/>
      <c r="W6" s="229"/>
      <c r="X6" s="227"/>
      <c r="Y6" s="227"/>
      <c r="Z6" s="227"/>
      <c r="AA6" s="317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527" customFormat="1" ht="12" customHeight="1" x14ac:dyDescent="0.25">
      <c r="A7" s="275">
        <v>44743</v>
      </c>
      <c r="B7" s="528" t="s">
        <v>363</v>
      </c>
      <c r="C7" s="276" t="s">
        <v>145</v>
      </c>
      <c r="D7" s="287">
        <v>150</v>
      </c>
      <c r="E7" s="220"/>
      <c r="F7" s="221"/>
      <c r="G7" s="288"/>
      <c r="H7" s="306"/>
      <c r="I7" s="183">
        <v>150</v>
      </c>
      <c r="J7" s="183"/>
      <c r="K7" s="184"/>
      <c r="L7" s="183"/>
      <c r="M7" s="183"/>
      <c r="N7" s="183"/>
      <c r="O7" s="470"/>
      <c r="P7" s="320"/>
      <c r="Q7" s="189"/>
      <c r="R7" s="189"/>
      <c r="S7" s="189"/>
      <c r="T7" s="189"/>
      <c r="U7" s="471"/>
      <c r="V7" s="189"/>
      <c r="W7" s="190"/>
      <c r="X7" s="189"/>
      <c r="Y7" s="189"/>
      <c r="Z7" s="189"/>
      <c r="AA7" s="321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527" customFormat="1" ht="12" customHeight="1" x14ac:dyDescent="0.25">
      <c r="A8" s="275">
        <v>44743</v>
      </c>
      <c r="B8" s="528" t="s">
        <v>344</v>
      </c>
      <c r="C8" s="276" t="s">
        <v>145</v>
      </c>
      <c r="D8" s="287">
        <v>40</v>
      </c>
      <c r="E8" s="220"/>
      <c r="F8" s="221"/>
      <c r="G8" s="288"/>
      <c r="H8" s="306"/>
      <c r="I8" s="183">
        <v>40</v>
      </c>
      <c r="J8" s="183"/>
      <c r="K8" s="184"/>
      <c r="L8" s="183"/>
      <c r="M8" s="183"/>
      <c r="N8" s="183"/>
      <c r="O8" s="470"/>
      <c r="P8" s="320"/>
      <c r="Q8" s="189"/>
      <c r="R8" s="189"/>
      <c r="S8" s="189"/>
      <c r="T8" s="189"/>
      <c r="U8" s="471"/>
      <c r="V8" s="189"/>
      <c r="W8" s="190"/>
      <c r="X8" s="189"/>
      <c r="Y8" s="189"/>
      <c r="Z8" s="189"/>
      <c r="AA8" s="321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527" customFormat="1" ht="12" customHeight="1" x14ac:dyDescent="0.25">
      <c r="A9" s="275">
        <v>44743</v>
      </c>
      <c r="B9" s="528" t="s">
        <v>298</v>
      </c>
      <c r="C9" s="276" t="s">
        <v>145</v>
      </c>
      <c r="D9" s="287">
        <v>40</v>
      </c>
      <c r="E9" s="220"/>
      <c r="F9" s="221"/>
      <c r="G9" s="288"/>
      <c r="H9" s="306"/>
      <c r="I9" s="183">
        <v>40</v>
      </c>
      <c r="J9" s="183"/>
      <c r="K9" s="184"/>
      <c r="L9" s="183"/>
      <c r="M9" s="183"/>
      <c r="N9" s="183"/>
      <c r="O9" s="470"/>
      <c r="P9" s="320"/>
      <c r="Q9" s="189"/>
      <c r="R9" s="189"/>
      <c r="S9" s="189"/>
      <c r="T9" s="189"/>
      <c r="U9" s="471"/>
      <c r="V9" s="189"/>
      <c r="W9" s="190"/>
      <c r="X9" s="189"/>
      <c r="Y9" s="189"/>
      <c r="Z9" s="189"/>
      <c r="AA9" s="321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527" customFormat="1" ht="12" customHeight="1" x14ac:dyDescent="0.25">
      <c r="A10" s="275">
        <v>44745</v>
      </c>
      <c r="B10" s="528" t="s">
        <v>138</v>
      </c>
      <c r="C10" s="276" t="s">
        <v>145</v>
      </c>
      <c r="D10" s="287"/>
      <c r="E10" s="220">
        <v>10.44</v>
      </c>
      <c r="F10" s="221"/>
      <c r="G10" s="288"/>
      <c r="H10" s="306"/>
      <c r="I10" s="183"/>
      <c r="J10" s="183"/>
      <c r="K10" s="184"/>
      <c r="L10" s="183"/>
      <c r="M10" s="183"/>
      <c r="N10" s="183"/>
      <c r="O10" s="470"/>
      <c r="P10" s="320"/>
      <c r="Q10" s="189"/>
      <c r="R10" s="189"/>
      <c r="S10" s="189"/>
      <c r="T10" s="189"/>
      <c r="U10" s="471"/>
      <c r="V10" s="189"/>
      <c r="W10" s="190">
        <v>10.44</v>
      </c>
      <c r="X10" s="189"/>
      <c r="Y10" s="189"/>
      <c r="Z10" s="189"/>
      <c r="AA10" s="321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527" customFormat="1" ht="12" customHeight="1" x14ac:dyDescent="0.25">
      <c r="A11" s="275">
        <v>44747</v>
      </c>
      <c r="B11" s="528" t="s">
        <v>486</v>
      </c>
      <c r="C11" s="276" t="s">
        <v>145</v>
      </c>
      <c r="D11" s="287">
        <v>282</v>
      </c>
      <c r="E11" s="220"/>
      <c r="F11" s="221"/>
      <c r="G11" s="288">
        <v>282</v>
      </c>
      <c r="H11" s="306"/>
      <c r="I11" s="183"/>
      <c r="J11" s="183"/>
      <c r="K11" s="184"/>
      <c r="L11" s="183"/>
      <c r="M11" s="183"/>
      <c r="N11" s="183"/>
      <c r="O11" s="470"/>
      <c r="P11" s="320"/>
      <c r="Q11" s="189"/>
      <c r="R11" s="189"/>
      <c r="S11" s="189"/>
      <c r="T11" s="189"/>
      <c r="U11" s="471"/>
      <c r="V11" s="189"/>
      <c r="W11" s="190"/>
      <c r="X11" s="189"/>
      <c r="Y11" s="189"/>
      <c r="Z11" s="189"/>
      <c r="AA11" s="321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170" customFormat="1" ht="12" customHeight="1" x14ac:dyDescent="0.25">
      <c r="A12" s="275">
        <v>44747</v>
      </c>
      <c r="B12" s="528" t="s">
        <v>146</v>
      </c>
      <c r="C12" s="276" t="s">
        <v>145</v>
      </c>
      <c r="D12" s="287"/>
      <c r="E12" s="220">
        <v>29.99</v>
      </c>
      <c r="F12" s="221"/>
      <c r="G12" s="288"/>
      <c r="H12" s="306"/>
      <c r="I12" s="183"/>
      <c r="J12" s="183"/>
      <c r="K12" s="184"/>
      <c r="L12" s="183"/>
      <c r="M12" s="183"/>
      <c r="N12" s="183"/>
      <c r="O12" s="470"/>
      <c r="P12" s="320"/>
      <c r="Q12" s="189"/>
      <c r="R12" s="189"/>
      <c r="S12" s="189"/>
      <c r="T12" s="189"/>
      <c r="U12" s="471"/>
      <c r="V12" s="189">
        <f>29.99</f>
        <v>29.99</v>
      </c>
      <c r="W12" s="190"/>
      <c r="X12" s="189"/>
      <c r="Y12" s="189"/>
      <c r="Z12" s="189"/>
      <c r="AA12" s="321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170" customFormat="1" ht="12" customHeight="1" x14ac:dyDescent="0.25">
      <c r="A13" s="273">
        <v>44747</v>
      </c>
      <c r="B13" s="231" t="s">
        <v>424</v>
      </c>
      <c r="C13" s="274" t="s">
        <v>145</v>
      </c>
      <c r="D13" s="285">
        <v>70</v>
      </c>
      <c r="E13" s="218"/>
      <c r="F13" s="219"/>
      <c r="G13" s="286"/>
      <c r="H13" s="304"/>
      <c r="I13" s="185">
        <v>70</v>
      </c>
      <c r="J13" s="185"/>
      <c r="K13" s="186"/>
      <c r="L13" s="185"/>
      <c r="M13" s="185"/>
      <c r="N13" s="185"/>
      <c r="O13" s="305"/>
      <c r="P13" s="318"/>
      <c r="Q13" s="191"/>
      <c r="R13" s="191"/>
      <c r="S13" s="191"/>
      <c r="T13" s="191"/>
      <c r="U13" s="232"/>
      <c r="V13" s="191"/>
      <c r="W13" s="192"/>
      <c r="X13" s="191"/>
      <c r="Y13" s="191"/>
      <c r="Z13" s="191"/>
      <c r="AA13" s="319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527" customFormat="1" ht="12" customHeight="1" x14ac:dyDescent="0.25">
      <c r="A14" s="511">
        <v>44748</v>
      </c>
      <c r="B14" s="512" t="s">
        <v>487</v>
      </c>
      <c r="C14" s="513" t="s">
        <v>145</v>
      </c>
      <c r="D14" s="514"/>
      <c r="E14" s="515"/>
      <c r="F14" s="516">
        <v>22</v>
      </c>
      <c r="G14" s="517"/>
      <c r="H14" s="518">
        <v>22</v>
      </c>
      <c r="I14" s="519"/>
      <c r="J14" s="519"/>
      <c r="K14" s="520"/>
      <c r="L14" s="519"/>
      <c r="M14" s="519"/>
      <c r="N14" s="519"/>
      <c r="O14" s="521"/>
      <c r="P14" s="522"/>
      <c r="Q14" s="523"/>
      <c r="R14" s="523"/>
      <c r="S14" s="523"/>
      <c r="T14" s="523"/>
      <c r="U14" s="524"/>
      <c r="V14" s="523"/>
      <c r="W14" s="525"/>
      <c r="X14" s="523"/>
      <c r="Y14" s="523"/>
      <c r="Z14" s="523"/>
      <c r="AA14" s="526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170" customFormat="1" ht="12" customHeight="1" x14ac:dyDescent="0.25">
      <c r="A15" s="273">
        <v>44750</v>
      </c>
      <c r="B15" s="231" t="s">
        <v>306</v>
      </c>
      <c r="C15" s="274" t="s">
        <v>145</v>
      </c>
      <c r="D15" s="285">
        <v>141.24</v>
      </c>
      <c r="E15" s="218"/>
      <c r="F15" s="219"/>
      <c r="G15" s="286"/>
      <c r="H15" s="304"/>
      <c r="I15" s="185">
        <v>141.24</v>
      </c>
      <c r="J15" s="185"/>
      <c r="K15" s="186"/>
      <c r="L15" s="185"/>
      <c r="M15" s="185"/>
      <c r="N15" s="185"/>
      <c r="O15" s="305"/>
      <c r="P15" s="318"/>
      <c r="Q15" s="191"/>
      <c r="R15" s="191"/>
      <c r="S15" s="191"/>
      <c r="T15" s="191"/>
      <c r="U15" s="232"/>
      <c r="V15" s="191"/>
      <c r="W15" s="192"/>
      <c r="X15" s="191"/>
      <c r="Y15" s="191"/>
      <c r="Z15" s="191"/>
      <c r="AA15" s="319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527" customFormat="1" ht="12" customHeight="1" x14ac:dyDescent="0.25">
      <c r="A16" s="511">
        <v>44750</v>
      </c>
      <c r="B16" s="512" t="s">
        <v>489</v>
      </c>
      <c r="C16" s="513" t="s">
        <v>145</v>
      </c>
      <c r="D16" s="514"/>
      <c r="E16" s="515"/>
      <c r="F16" s="516">
        <v>22</v>
      </c>
      <c r="G16" s="517"/>
      <c r="H16" s="518"/>
      <c r="I16" s="519"/>
      <c r="J16" s="519"/>
      <c r="K16" s="520">
        <v>22</v>
      </c>
      <c r="L16" s="519"/>
      <c r="M16" s="519"/>
      <c r="N16" s="519"/>
      <c r="O16" s="521"/>
      <c r="P16" s="522"/>
      <c r="Q16" s="523"/>
      <c r="R16" s="523"/>
      <c r="S16" s="523"/>
      <c r="T16" s="523"/>
      <c r="U16" s="524"/>
      <c r="V16" s="523"/>
      <c r="W16" s="525"/>
      <c r="X16" s="523"/>
      <c r="Y16" s="523"/>
      <c r="Z16" s="523"/>
      <c r="AA16" s="526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527" customFormat="1" ht="12" customHeight="1" x14ac:dyDescent="0.25">
      <c r="A17" s="511">
        <v>44750</v>
      </c>
      <c r="B17" s="512" t="s">
        <v>490</v>
      </c>
      <c r="C17" s="513" t="s">
        <v>145</v>
      </c>
      <c r="D17" s="514"/>
      <c r="E17" s="515"/>
      <c r="F17" s="516">
        <v>3</v>
      </c>
      <c r="G17" s="517"/>
      <c r="H17" s="518"/>
      <c r="I17" s="519"/>
      <c r="J17" s="519"/>
      <c r="K17" s="520">
        <v>3</v>
      </c>
      <c r="L17" s="519"/>
      <c r="M17" s="519"/>
      <c r="N17" s="519"/>
      <c r="O17" s="521"/>
      <c r="P17" s="522"/>
      <c r="Q17" s="523"/>
      <c r="R17" s="523"/>
      <c r="S17" s="523"/>
      <c r="T17" s="523"/>
      <c r="U17" s="524"/>
      <c r="V17" s="523"/>
      <c r="W17" s="525"/>
      <c r="X17" s="523"/>
      <c r="Y17" s="523"/>
      <c r="Z17" s="523"/>
      <c r="AA17" s="526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527" customFormat="1" ht="12" customHeight="1" x14ac:dyDescent="0.25">
      <c r="A18" s="511">
        <v>44750</v>
      </c>
      <c r="B18" s="512" t="s">
        <v>491</v>
      </c>
      <c r="C18" s="513" t="s">
        <v>145</v>
      </c>
      <c r="D18" s="514">
        <v>30</v>
      </c>
      <c r="E18" s="515"/>
      <c r="F18" s="516"/>
      <c r="G18" s="517"/>
      <c r="H18" s="518"/>
      <c r="I18" s="519"/>
      <c r="J18" s="519"/>
      <c r="K18" s="520">
        <v>30</v>
      </c>
      <c r="L18" s="519"/>
      <c r="M18" s="519"/>
      <c r="N18" s="519"/>
      <c r="O18" s="521"/>
      <c r="P18" s="522"/>
      <c r="Q18" s="523"/>
      <c r="R18" s="523"/>
      <c r="S18" s="523"/>
      <c r="T18" s="523"/>
      <c r="U18" s="524"/>
      <c r="V18" s="523"/>
      <c r="W18" s="525"/>
      <c r="X18" s="523"/>
      <c r="Y18" s="523"/>
      <c r="Z18" s="523"/>
      <c r="AA18" s="526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527" customFormat="1" ht="12" customHeight="1" x14ac:dyDescent="0.25">
      <c r="A19" s="511">
        <v>44750</v>
      </c>
      <c r="B19" s="512" t="s">
        <v>492</v>
      </c>
      <c r="C19" s="513" t="s">
        <v>145</v>
      </c>
      <c r="D19" s="514"/>
      <c r="E19" s="515"/>
      <c r="F19" s="516">
        <v>1</v>
      </c>
      <c r="G19" s="517"/>
      <c r="H19" s="518"/>
      <c r="I19" s="519"/>
      <c r="J19" s="519"/>
      <c r="K19" s="520">
        <v>1</v>
      </c>
      <c r="L19" s="519"/>
      <c r="M19" s="519"/>
      <c r="N19" s="519"/>
      <c r="O19" s="521"/>
      <c r="P19" s="522"/>
      <c r="Q19" s="523"/>
      <c r="R19" s="523"/>
      <c r="S19" s="523"/>
      <c r="T19" s="523"/>
      <c r="U19" s="524"/>
      <c r="V19" s="523"/>
      <c r="W19" s="525"/>
      <c r="X19" s="523"/>
      <c r="Y19" s="523"/>
      <c r="Z19" s="523"/>
      <c r="AA19" s="526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527" customFormat="1" ht="12" customHeight="1" x14ac:dyDescent="0.25">
      <c r="A20" s="511">
        <v>44750</v>
      </c>
      <c r="B20" s="512" t="s">
        <v>489</v>
      </c>
      <c r="C20" s="513" t="s">
        <v>145</v>
      </c>
      <c r="D20" s="514"/>
      <c r="E20" s="515"/>
      <c r="F20" s="516">
        <v>5</v>
      </c>
      <c r="G20" s="517"/>
      <c r="H20" s="518"/>
      <c r="I20" s="519"/>
      <c r="J20" s="519"/>
      <c r="K20" s="520">
        <v>5</v>
      </c>
      <c r="L20" s="519"/>
      <c r="M20" s="519"/>
      <c r="N20" s="519"/>
      <c r="O20" s="521"/>
      <c r="P20" s="522"/>
      <c r="Q20" s="523"/>
      <c r="R20" s="523"/>
      <c r="S20" s="523"/>
      <c r="T20" s="523"/>
      <c r="U20" s="524"/>
      <c r="V20" s="523"/>
      <c r="W20" s="525"/>
      <c r="X20" s="523"/>
      <c r="Y20" s="523"/>
      <c r="Z20" s="523"/>
      <c r="AA20" s="526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527" customFormat="1" ht="12" customHeight="1" x14ac:dyDescent="0.25">
      <c r="A21" s="511">
        <v>44750</v>
      </c>
      <c r="B21" s="512" t="s">
        <v>489</v>
      </c>
      <c r="C21" s="513" t="s">
        <v>145</v>
      </c>
      <c r="D21" s="514"/>
      <c r="E21" s="515"/>
      <c r="F21" s="516">
        <v>2</v>
      </c>
      <c r="G21" s="517"/>
      <c r="H21" s="518"/>
      <c r="I21" s="519"/>
      <c r="J21" s="519"/>
      <c r="K21" s="520">
        <v>2</v>
      </c>
      <c r="L21" s="519"/>
      <c r="M21" s="519"/>
      <c r="N21" s="519"/>
      <c r="O21" s="521"/>
      <c r="P21" s="522"/>
      <c r="Q21" s="523"/>
      <c r="R21" s="523"/>
      <c r="S21" s="523"/>
      <c r="T21" s="523"/>
      <c r="U21" s="524"/>
      <c r="V21" s="523"/>
      <c r="W21" s="525"/>
      <c r="X21" s="523"/>
      <c r="Y21" s="523"/>
      <c r="Z21" s="523"/>
      <c r="AA21" s="526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527" customFormat="1" ht="12" customHeight="1" x14ac:dyDescent="0.25">
      <c r="A22" s="511">
        <v>44750</v>
      </c>
      <c r="B22" s="512" t="s">
        <v>493</v>
      </c>
      <c r="C22" s="513" t="s">
        <v>145</v>
      </c>
      <c r="D22" s="514"/>
      <c r="E22" s="515"/>
      <c r="F22" s="516">
        <v>0.4</v>
      </c>
      <c r="G22" s="517"/>
      <c r="H22" s="518"/>
      <c r="I22" s="519"/>
      <c r="J22" s="519"/>
      <c r="K22" s="520">
        <v>0.4</v>
      </c>
      <c r="L22" s="519"/>
      <c r="M22" s="519"/>
      <c r="N22" s="519"/>
      <c r="O22" s="521"/>
      <c r="P22" s="522"/>
      <c r="Q22" s="523"/>
      <c r="R22" s="523"/>
      <c r="S22" s="523"/>
      <c r="T22" s="523"/>
      <c r="U22" s="524"/>
      <c r="V22" s="523"/>
      <c r="W22" s="525"/>
      <c r="X22" s="523"/>
      <c r="Y22" s="523"/>
      <c r="Z22" s="523"/>
      <c r="AA22" s="526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527" customFormat="1" ht="12" customHeight="1" x14ac:dyDescent="0.25">
      <c r="A23" s="511">
        <v>44750</v>
      </c>
      <c r="B23" s="512" t="s">
        <v>497</v>
      </c>
      <c r="C23" s="513" t="s">
        <v>145</v>
      </c>
      <c r="D23" s="514">
        <v>247.7</v>
      </c>
      <c r="E23" s="515"/>
      <c r="F23" s="516"/>
      <c r="G23" s="517"/>
      <c r="H23" s="518"/>
      <c r="I23" s="519"/>
      <c r="J23" s="519"/>
      <c r="K23" s="520">
        <v>247.7</v>
      </c>
      <c r="L23" s="519"/>
      <c r="M23" s="519"/>
      <c r="N23" s="519"/>
      <c r="O23" s="521"/>
      <c r="P23" s="522"/>
      <c r="Q23" s="523"/>
      <c r="R23" s="523"/>
      <c r="S23" s="523"/>
      <c r="T23" s="523"/>
      <c r="U23" s="524"/>
      <c r="V23" s="523"/>
      <c r="W23" s="525"/>
      <c r="X23" s="523"/>
      <c r="Y23" s="523"/>
      <c r="Z23" s="523"/>
      <c r="AA23" s="526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527" customFormat="1" ht="12" customHeight="1" x14ac:dyDescent="0.25">
      <c r="A24" s="511">
        <v>44750</v>
      </c>
      <c r="B24" s="512" t="s">
        <v>495</v>
      </c>
      <c r="C24" s="513" t="s">
        <v>145</v>
      </c>
      <c r="D24" s="514">
        <v>12</v>
      </c>
      <c r="E24" s="515"/>
      <c r="F24" s="516"/>
      <c r="G24" s="517"/>
      <c r="H24" s="518"/>
      <c r="I24" s="519"/>
      <c r="J24" s="519"/>
      <c r="K24" s="520">
        <v>12</v>
      </c>
      <c r="L24" s="519"/>
      <c r="M24" s="519"/>
      <c r="N24" s="519"/>
      <c r="O24" s="521"/>
      <c r="P24" s="522"/>
      <c r="Q24" s="523"/>
      <c r="R24" s="523"/>
      <c r="S24" s="523"/>
      <c r="T24" s="523"/>
      <c r="U24" s="524"/>
      <c r="V24" s="523"/>
      <c r="W24" s="525"/>
      <c r="X24" s="523"/>
      <c r="Y24" s="523"/>
      <c r="Z24" s="523"/>
      <c r="AA24" s="526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527" customFormat="1" ht="12" customHeight="1" x14ac:dyDescent="0.25">
      <c r="A25" s="511">
        <v>44750</v>
      </c>
      <c r="B25" s="512" t="s">
        <v>496</v>
      </c>
      <c r="C25" s="513" t="s">
        <v>145</v>
      </c>
      <c r="D25" s="514">
        <v>97</v>
      </c>
      <c r="E25" s="515"/>
      <c r="F25" s="516"/>
      <c r="G25" s="517"/>
      <c r="H25" s="518"/>
      <c r="I25" s="519"/>
      <c r="J25" s="519"/>
      <c r="K25" s="520">
        <v>97</v>
      </c>
      <c r="L25" s="519"/>
      <c r="M25" s="519"/>
      <c r="N25" s="519"/>
      <c r="O25" s="521"/>
      <c r="P25" s="522"/>
      <c r="Q25" s="523"/>
      <c r="R25" s="523"/>
      <c r="S25" s="523"/>
      <c r="T25" s="523"/>
      <c r="U25" s="524"/>
      <c r="V25" s="523"/>
      <c r="W25" s="525"/>
      <c r="X25" s="523"/>
      <c r="Y25" s="523"/>
      <c r="Z25" s="523"/>
      <c r="AA25" s="526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527" customFormat="1" ht="12" customHeight="1" x14ac:dyDescent="0.25">
      <c r="A26" s="511">
        <v>44750</v>
      </c>
      <c r="B26" s="512" t="s">
        <v>488</v>
      </c>
      <c r="C26" s="513" t="s">
        <v>145</v>
      </c>
      <c r="D26" s="514"/>
      <c r="E26" s="515"/>
      <c r="F26" s="516">
        <v>1</v>
      </c>
      <c r="G26" s="517"/>
      <c r="H26" s="518"/>
      <c r="I26" s="519"/>
      <c r="J26" s="519"/>
      <c r="K26" s="520">
        <v>1</v>
      </c>
      <c r="L26" s="519"/>
      <c r="M26" s="519"/>
      <c r="N26" s="519"/>
      <c r="O26" s="521"/>
      <c r="P26" s="522"/>
      <c r="Q26" s="523"/>
      <c r="R26" s="523"/>
      <c r="S26" s="523"/>
      <c r="T26" s="523"/>
      <c r="U26" s="524"/>
      <c r="V26" s="523"/>
      <c r="W26" s="525"/>
      <c r="X26" s="523"/>
      <c r="Y26" s="523"/>
      <c r="Z26" s="523"/>
      <c r="AA26" s="526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527" customFormat="1" ht="12" customHeight="1" x14ac:dyDescent="0.25">
      <c r="A27" s="511">
        <v>44752</v>
      </c>
      <c r="B27" s="512" t="s">
        <v>195</v>
      </c>
      <c r="C27" s="513" t="s">
        <v>145</v>
      </c>
      <c r="D27" s="514">
        <v>306</v>
      </c>
      <c r="E27" s="515"/>
      <c r="F27" s="516"/>
      <c r="G27" s="517"/>
      <c r="H27" s="518"/>
      <c r="I27" s="519">
        <v>306</v>
      </c>
      <c r="J27" s="519"/>
      <c r="K27" s="520"/>
      <c r="L27" s="519"/>
      <c r="M27" s="519"/>
      <c r="N27" s="519"/>
      <c r="O27" s="521"/>
      <c r="P27" s="522"/>
      <c r="Q27" s="523"/>
      <c r="R27" s="523"/>
      <c r="S27" s="523"/>
      <c r="T27" s="523"/>
      <c r="U27" s="524"/>
      <c r="V27" s="523"/>
      <c r="W27" s="525"/>
      <c r="X27" s="523"/>
      <c r="Y27" s="523"/>
      <c r="Z27" s="523"/>
      <c r="AA27" s="526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170" customFormat="1" ht="12" customHeight="1" x14ac:dyDescent="0.25">
      <c r="A28" s="273">
        <v>44752</v>
      </c>
      <c r="B28" s="231" t="s">
        <v>483</v>
      </c>
      <c r="C28" s="274" t="s">
        <v>145</v>
      </c>
      <c r="D28" s="285"/>
      <c r="E28" s="218">
        <v>1464.66</v>
      </c>
      <c r="F28" s="219"/>
      <c r="G28" s="286"/>
      <c r="H28" s="304"/>
      <c r="I28" s="185"/>
      <c r="J28" s="185"/>
      <c r="K28" s="186"/>
      <c r="L28" s="185"/>
      <c r="M28" s="185"/>
      <c r="N28" s="185"/>
      <c r="O28" s="305"/>
      <c r="P28" s="318"/>
      <c r="Q28" s="191"/>
      <c r="R28" s="191"/>
      <c r="S28" s="191"/>
      <c r="T28" s="191"/>
      <c r="U28" s="232">
        <f>1464.66</f>
        <v>1464.66</v>
      </c>
      <c r="V28" s="191"/>
      <c r="W28" s="192"/>
      <c r="X28" s="191"/>
      <c r="Y28" s="191"/>
      <c r="Z28" s="191"/>
      <c r="AA28" s="319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170" customFormat="1" ht="12" customHeight="1" x14ac:dyDescent="0.25">
      <c r="A29" s="273">
        <v>44756</v>
      </c>
      <c r="B29" s="231" t="s">
        <v>211</v>
      </c>
      <c r="C29" s="274" t="s">
        <v>145</v>
      </c>
      <c r="D29" s="285"/>
      <c r="E29" s="218">
        <v>12.36</v>
      </c>
      <c r="F29" s="219"/>
      <c r="G29" s="286"/>
      <c r="H29" s="304"/>
      <c r="I29" s="185"/>
      <c r="J29" s="185"/>
      <c r="K29" s="186"/>
      <c r="L29" s="185"/>
      <c r="M29" s="185"/>
      <c r="N29" s="185"/>
      <c r="O29" s="305"/>
      <c r="P29" s="318"/>
      <c r="Q29" s="191"/>
      <c r="R29" s="191"/>
      <c r="S29" s="191"/>
      <c r="T29" s="191"/>
      <c r="U29" s="232"/>
      <c r="V29" s="191"/>
      <c r="W29" s="192"/>
      <c r="X29" s="191"/>
      <c r="Y29" s="191">
        <v>12.36</v>
      </c>
      <c r="Z29" s="191"/>
      <c r="AA29" s="319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170" customFormat="1" ht="12" customHeight="1" x14ac:dyDescent="0.25">
      <c r="A30" s="273">
        <v>44757</v>
      </c>
      <c r="B30" s="231" t="s">
        <v>231</v>
      </c>
      <c r="C30" s="274" t="s">
        <v>145</v>
      </c>
      <c r="D30" s="285">
        <v>30</v>
      </c>
      <c r="E30" s="218"/>
      <c r="F30" s="219"/>
      <c r="G30" s="286"/>
      <c r="H30" s="304"/>
      <c r="I30" s="185">
        <v>30</v>
      </c>
      <c r="J30" s="185"/>
      <c r="K30" s="186"/>
      <c r="L30" s="185"/>
      <c r="M30" s="185"/>
      <c r="N30" s="185"/>
      <c r="O30" s="305"/>
      <c r="P30" s="318"/>
      <c r="Q30" s="191"/>
      <c r="R30" s="191"/>
      <c r="S30" s="191"/>
      <c r="T30" s="191"/>
      <c r="U30" s="232"/>
      <c r="V30" s="191"/>
      <c r="W30" s="192"/>
      <c r="X30" s="191"/>
      <c r="Y30" s="191"/>
      <c r="Z30" s="191"/>
      <c r="AA30" s="319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170" customFormat="1" ht="12" customHeight="1" x14ac:dyDescent="0.25">
      <c r="A31" s="273">
        <v>44757</v>
      </c>
      <c r="B31" s="231" t="s">
        <v>427</v>
      </c>
      <c r="C31" s="274" t="s">
        <v>145</v>
      </c>
      <c r="D31" s="285">
        <v>50</v>
      </c>
      <c r="E31" s="218"/>
      <c r="F31" s="219"/>
      <c r="G31" s="286"/>
      <c r="H31" s="304"/>
      <c r="I31" s="185">
        <v>50</v>
      </c>
      <c r="J31" s="185"/>
      <c r="K31" s="186"/>
      <c r="L31" s="185"/>
      <c r="M31" s="185"/>
      <c r="N31" s="185"/>
      <c r="O31" s="305"/>
      <c r="P31" s="318"/>
      <c r="Q31" s="191"/>
      <c r="R31" s="191"/>
      <c r="S31" s="191"/>
      <c r="T31" s="191"/>
      <c r="U31" s="232"/>
      <c r="V31" s="191"/>
      <c r="W31" s="192"/>
      <c r="X31" s="191"/>
      <c r="Y31" s="191"/>
      <c r="Z31" s="191"/>
      <c r="AA31" s="319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170" customFormat="1" ht="12" customHeight="1" x14ac:dyDescent="0.25">
      <c r="A32" s="273">
        <v>44757</v>
      </c>
      <c r="B32" s="231" t="s">
        <v>498</v>
      </c>
      <c r="C32" s="274" t="s">
        <v>145</v>
      </c>
      <c r="D32" s="285">
        <v>60</v>
      </c>
      <c r="E32" s="218"/>
      <c r="F32" s="219"/>
      <c r="G32" s="286"/>
      <c r="H32" s="304"/>
      <c r="I32" s="185">
        <v>60</v>
      </c>
      <c r="J32" s="185"/>
      <c r="K32" s="186"/>
      <c r="L32" s="185"/>
      <c r="M32" s="185"/>
      <c r="N32" s="185"/>
      <c r="O32" s="305"/>
      <c r="P32" s="318"/>
      <c r="Q32" s="191"/>
      <c r="R32" s="191"/>
      <c r="S32" s="191"/>
      <c r="T32" s="191"/>
      <c r="U32" s="232"/>
      <c r="V32" s="191"/>
      <c r="W32" s="192"/>
      <c r="X32" s="191"/>
      <c r="Y32" s="191"/>
      <c r="Z32" s="191"/>
      <c r="AA32" s="319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170" customFormat="1" ht="12" customHeight="1" x14ac:dyDescent="0.25">
      <c r="A33" s="273">
        <v>44757</v>
      </c>
      <c r="B33" s="231" t="s">
        <v>499</v>
      </c>
      <c r="C33" s="274" t="s">
        <v>145</v>
      </c>
      <c r="D33" s="285"/>
      <c r="E33" s="218"/>
      <c r="F33" s="219">
        <v>7.5</v>
      </c>
      <c r="G33" s="286"/>
      <c r="H33" s="304"/>
      <c r="I33" s="185"/>
      <c r="J33" s="185"/>
      <c r="K33" s="186">
        <v>7.5</v>
      </c>
      <c r="L33" s="185"/>
      <c r="M33" s="185"/>
      <c r="N33" s="185"/>
      <c r="O33" s="305"/>
      <c r="P33" s="318"/>
      <c r="Q33" s="191"/>
      <c r="R33" s="191"/>
      <c r="S33" s="191"/>
      <c r="T33" s="191"/>
      <c r="U33" s="232"/>
      <c r="V33" s="191"/>
      <c r="W33" s="192"/>
      <c r="X33" s="191"/>
      <c r="Y33" s="191"/>
      <c r="Z33" s="191"/>
      <c r="AA33" s="319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170" customFormat="1" ht="12" customHeight="1" x14ac:dyDescent="0.25">
      <c r="A34" s="273">
        <v>44757</v>
      </c>
      <c r="B34" s="231" t="s">
        <v>500</v>
      </c>
      <c r="C34" s="274" t="s">
        <v>145</v>
      </c>
      <c r="D34" s="285"/>
      <c r="E34" s="218"/>
      <c r="F34" s="219">
        <v>7</v>
      </c>
      <c r="G34" s="286"/>
      <c r="H34" s="304"/>
      <c r="I34" s="185"/>
      <c r="J34" s="185"/>
      <c r="K34" s="186">
        <v>7</v>
      </c>
      <c r="L34" s="185"/>
      <c r="M34" s="185"/>
      <c r="N34" s="185"/>
      <c r="O34" s="305"/>
      <c r="P34" s="318"/>
      <c r="Q34" s="191"/>
      <c r="R34" s="191"/>
      <c r="S34" s="191"/>
      <c r="T34" s="191"/>
      <c r="U34" s="232"/>
      <c r="V34" s="191"/>
      <c r="W34" s="192"/>
      <c r="X34" s="191"/>
      <c r="Y34" s="191"/>
      <c r="Z34" s="191"/>
      <c r="AA34" s="319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170" customFormat="1" ht="12" customHeight="1" x14ac:dyDescent="0.25">
      <c r="A35" s="273">
        <v>44757</v>
      </c>
      <c r="B35" s="231" t="s">
        <v>501</v>
      </c>
      <c r="C35" s="274" t="s">
        <v>145</v>
      </c>
      <c r="D35" s="285"/>
      <c r="E35" s="218"/>
      <c r="F35" s="219">
        <v>6</v>
      </c>
      <c r="G35" s="286"/>
      <c r="H35" s="304"/>
      <c r="I35" s="185"/>
      <c r="J35" s="185"/>
      <c r="K35" s="186">
        <v>6</v>
      </c>
      <c r="L35" s="185"/>
      <c r="M35" s="185"/>
      <c r="N35" s="185"/>
      <c r="O35" s="305"/>
      <c r="P35" s="318"/>
      <c r="Q35" s="191"/>
      <c r="R35" s="191"/>
      <c r="S35" s="191"/>
      <c r="T35" s="191"/>
      <c r="U35" s="232"/>
      <c r="V35" s="191"/>
      <c r="W35" s="192"/>
      <c r="X35" s="191"/>
      <c r="Y35" s="191"/>
      <c r="Z35" s="191"/>
      <c r="AA35" s="319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170" customFormat="1" ht="12" customHeight="1" x14ac:dyDescent="0.25">
      <c r="A36" s="273">
        <v>44757</v>
      </c>
      <c r="B36" s="231" t="s">
        <v>502</v>
      </c>
      <c r="C36" s="274" t="s">
        <v>145</v>
      </c>
      <c r="D36" s="285">
        <v>72</v>
      </c>
      <c r="E36" s="218"/>
      <c r="F36" s="219"/>
      <c r="G36" s="286"/>
      <c r="H36" s="304"/>
      <c r="I36" s="185"/>
      <c r="J36" s="185"/>
      <c r="K36" s="186">
        <v>72</v>
      </c>
      <c r="L36" s="185"/>
      <c r="M36" s="185"/>
      <c r="N36" s="185"/>
      <c r="O36" s="305"/>
      <c r="P36" s="318"/>
      <c r="Q36" s="191"/>
      <c r="R36" s="191"/>
      <c r="S36" s="191"/>
      <c r="T36" s="191"/>
      <c r="U36" s="232"/>
      <c r="V36" s="191"/>
      <c r="W36" s="192"/>
      <c r="X36" s="191"/>
      <c r="Y36" s="191"/>
      <c r="Z36" s="191"/>
      <c r="AA36" s="319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170" customFormat="1" ht="12" customHeight="1" x14ac:dyDescent="0.25">
      <c r="A37" s="273">
        <v>44757</v>
      </c>
      <c r="B37" s="231" t="s">
        <v>503</v>
      </c>
      <c r="C37" s="274" t="s">
        <v>145</v>
      </c>
      <c r="D37" s="285"/>
      <c r="E37" s="218"/>
      <c r="F37" s="219">
        <v>25</v>
      </c>
      <c r="G37" s="286"/>
      <c r="H37" s="304"/>
      <c r="I37" s="185"/>
      <c r="J37" s="185"/>
      <c r="K37" s="186">
        <v>25</v>
      </c>
      <c r="L37" s="185"/>
      <c r="M37" s="185"/>
      <c r="N37" s="185"/>
      <c r="O37" s="305"/>
      <c r="P37" s="318"/>
      <c r="Q37" s="191"/>
      <c r="R37" s="191"/>
      <c r="S37" s="191"/>
      <c r="T37" s="191"/>
      <c r="U37" s="232"/>
      <c r="V37" s="191"/>
      <c r="W37" s="192"/>
      <c r="X37" s="191"/>
      <c r="Y37" s="191"/>
      <c r="Z37" s="191"/>
      <c r="AA37" s="319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170" customFormat="1" ht="12" customHeight="1" x14ac:dyDescent="0.25">
      <c r="A38" s="273">
        <v>44757</v>
      </c>
      <c r="B38" s="231" t="s">
        <v>504</v>
      </c>
      <c r="C38" s="274" t="s">
        <v>145</v>
      </c>
      <c r="D38" s="285">
        <v>25.5</v>
      </c>
      <c r="E38" s="218"/>
      <c r="F38" s="219"/>
      <c r="G38" s="286"/>
      <c r="H38" s="304"/>
      <c r="I38" s="185"/>
      <c r="J38" s="185"/>
      <c r="K38" s="186">
        <v>25.5</v>
      </c>
      <c r="L38" s="185"/>
      <c r="M38" s="185"/>
      <c r="N38" s="185"/>
      <c r="O38" s="305"/>
      <c r="P38" s="318"/>
      <c r="Q38" s="191"/>
      <c r="R38" s="191"/>
      <c r="S38" s="191"/>
      <c r="T38" s="191"/>
      <c r="U38" s="232"/>
      <c r="V38" s="191"/>
      <c r="W38" s="192"/>
      <c r="X38" s="191"/>
      <c r="Y38" s="191"/>
      <c r="Z38" s="191"/>
      <c r="AA38" s="319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170" customFormat="1" ht="12" customHeight="1" x14ac:dyDescent="0.25">
      <c r="A39" s="273">
        <v>44757</v>
      </c>
      <c r="B39" s="231" t="s">
        <v>505</v>
      </c>
      <c r="C39" s="274" t="s">
        <v>145</v>
      </c>
      <c r="D39" s="285"/>
      <c r="E39" s="218"/>
      <c r="F39" s="219">
        <v>16</v>
      </c>
      <c r="G39" s="286"/>
      <c r="H39" s="304"/>
      <c r="I39" s="185"/>
      <c r="J39" s="185"/>
      <c r="K39" s="186">
        <v>16</v>
      </c>
      <c r="L39" s="185"/>
      <c r="M39" s="185"/>
      <c r="N39" s="185"/>
      <c r="O39" s="305"/>
      <c r="P39" s="318"/>
      <c r="Q39" s="191"/>
      <c r="R39" s="191"/>
      <c r="S39" s="191"/>
      <c r="T39" s="191"/>
      <c r="U39" s="232"/>
      <c r="V39" s="191"/>
      <c r="W39" s="192"/>
      <c r="X39" s="191"/>
      <c r="Y39" s="191"/>
      <c r="Z39" s="191"/>
      <c r="AA39" s="319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170" customFormat="1" ht="12" customHeight="1" x14ac:dyDescent="0.25">
      <c r="A40" s="273">
        <v>44757</v>
      </c>
      <c r="B40" s="231" t="s">
        <v>506</v>
      </c>
      <c r="C40" s="274" t="s">
        <v>145</v>
      </c>
      <c r="D40" s="285">
        <v>12</v>
      </c>
      <c r="E40" s="218"/>
      <c r="F40" s="219"/>
      <c r="G40" s="286"/>
      <c r="H40" s="304"/>
      <c r="I40" s="185"/>
      <c r="J40" s="185"/>
      <c r="K40" s="186">
        <v>12</v>
      </c>
      <c r="L40" s="185"/>
      <c r="M40" s="185"/>
      <c r="N40" s="185"/>
      <c r="O40" s="305"/>
      <c r="P40" s="318"/>
      <c r="Q40" s="191"/>
      <c r="R40" s="191"/>
      <c r="S40" s="191"/>
      <c r="T40" s="191"/>
      <c r="U40" s="232"/>
      <c r="V40" s="191"/>
      <c r="W40" s="192"/>
      <c r="X40" s="191"/>
      <c r="Y40" s="191"/>
      <c r="Z40" s="191"/>
      <c r="AA40" s="319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170" customFormat="1" ht="12" customHeight="1" x14ac:dyDescent="0.25">
      <c r="A41" s="273">
        <v>44757</v>
      </c>
      <c r="B41" s="231" t="s">
        <v>507</v>
      </c>
      <c r="C41" s="274" t="s">
        <v>145</v>
      </c>
      <c r="D41" s="285"/>
      <c r="E41" s="218"/>
      <c r="F41" s="219"/>
      <c r="G41" s="286">
        <v>4.45</v>
      </c>
      <c r="H41" s="304"/>
      <c r="I41" s="185"/>
      <c r="J41" s="185"/>
      <c r="K41" s="186"/>
      <c r="L41" s="185"/>
      <c r="M41" s="185"/>
      <c r="N41" s="185"/>
      <c r="O41" s="305"/>
      <c r="P41" s="318"/>
      <c r="Q41" s="191"/>
      <c r="R41" s="191"/>
      <c r="S41" s="191">
        <v>4.45</v>
      </c>
      <c r="T41" s="191"/>
      <c r="U41" s="232"/>
      <c r="V41" s="191"/>
      <c r="W41" s="192"/>
      <c r="X41" s="191"/>
      <c r="Y41" s="191"/>
      <c r="Z41" s="191"/>
      <c r="AA41" s="319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44757</v>
      </c>
      <c r="B42" s="231" t="s">
        <v>508</v>
      </c>
      <c r="C42" s="274" t="s">
        <v>145</v>
      </c>
      <c r="D42" s="285"/>
      <c r="E42" s="218"/>
      <c r="F42" s="219"/>
      <c r="G42" s="286">
        <v>30.8</v>
      </c>
      <c r="H42" s="304"/>
      <c r="I42" s="185"/>
      <c r="J42" s="185"/>
      <c r="K42" s="186"/>
      <c r="L42" s="185"/>
      <c r="M42" s="185"/>
      <c r="N42" s="185"/>
      <c r="O42" s="305"/>
      <c r="P42" s="318"/>
      <c r="Q42" s="191">
        <v>30.8</v>
      </c>
      <c r="R42" s="191"/>
      <c r="S42" s="191"/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170" customFormat="1" ht="12" customHeight="1" x14ac:dyDescent="0.25">
      <c r="A43" s="273">
        <v>44757</v>
      </c>
      <c r="B43" s="231" t="s">
        <v>509</v>
      </c>
      <c r="C43" s="274" t="s">
        <v>145</v>
      </c>
      <c r="D43" s="285"/>
      <c r="E43" s="218">
        <v>2040.5</v>
      </c>
      <c r="F43" s="219"/>
      <c r="G43" s="286"/>
      <c r="H43" s="304"/>
      <c r="I43" s="185"/>
      <c r="J43" s="185"/>
      <c r="K43" s="186"/>
      <c r="L43" s="185"/>
      <c r="M43" s="185"/>
      <c r="N43" s="185"/>
      <c r="O43" s="305"/>
      <c r="P43" s="318"/>
      <c r="Q43" s="191"/>
      <c r="R43" s="191"/>
      <c r="S43" s="191"/>
      <c r="T43" s="191">
        <v>2040.5</v>
      </c>
      <c r="U43" s="232"/>
      <c r="V43" s="191"/>
      <c r="W43" s="192"/>
      <c r="X43" s="191"/>
      <c r="Y43" s="191"/>
      <c r="Z43" s="191"/>
      <c r="AA43" s="319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170" customFormat="1" ht="12" customHeight="1" x14ac:dyDescent="0.25">
      <c r="A44" s="273">
        <v>44758</v>
      </c>
      <c r="B44" s="231" t="s">
        <v>436</v>
      </c>
      <c r="C44" s="274" t="s">
        <v>145</v>
      </c>
      <c r="D44" s="285">
        <v>100.02</v>
      </c>
      <c r="E44" s="218"/>
      <c r="F44" s="219"/>
      <c r="G44" s="286"/>
      <c r="H44" s="304"/>
      <c r="I44" s="185">
        <v>100.02</v>
      </c>
      <c r="J44" s="185"/>
      <c r="K44" s="186"/>
      <c r="L44" s="185"/>
      <c r="M44" s="185"/>
      <c r="N44" s="185"/>
      <c r="O44" s="305"/>
      <c r="P44" s="318"/>
      <c r="Q44" s="191"/>
      <c r="R44" s="191"/>
      <c r="S44" s="191"/>
      <c r="T44" s="191"/>
      <c r="U44" s="232"/>
      <c r="V44" s="191"/>
      <c r="W44" s="192"/>
      <c r="X44" s="191"/>
      <c r="Y44" s="191"/>
      <c r="Z44" s="191"/>
      <c r="AA44" s="319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170" customFormat="1" ht="12" customHeight="1" x14ac:dyDescent="0.25">
      <c r="A45" s="273">
        <v>44760</v>
      </c>
      <c r="B45" s="231" t="s">
        <v>283</v>
      </c>
      <c r="C45" s="274" t="s">
        <v>145</v>
      </c>
      <c r="D45" s="285">
        <v>100</v>
      </c>
      <c r="E45" s="218"/>
      <c r="F45" s="219"/>
      <c r="G45" s="286"/>
      <c r="H45" s="304"/>
      <c r="I45" s="185">
        <v>100</v>
      </c>
      <c r="J45" s="185"/>
      <c r="K45" s="186"/>
      <c r="L45" s="185"/>
      <c r="M45" s="185"/>
      <c r="N45" s="185"/>
      <c r="O45" s="305"/>
      <c r="P45" s="318"/>
      <c r="Q45" s="191"/>
      <c r="R45" s="191"/>
      <c r="S45" s="191"/>
      <c r="T45" s="191"/>
      <c r="U45" s="232"/>
      <c r="V45" s="191"/>
      <c r="W45" s="192"/>
      <c r="X45" s="191"/>
      <c r="Y45" s="191"/>
      <c r="Z45" s="191"/>
      <c r="AA45" s="319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170" customFormat="1" ht="12" customHeight="1" x14ac:dyDescent="0.25">
      <c r="A46" s="273">
        <v>44762</v>
      </c>
      <c r="B46" s="231" t="s">
        <v>512</v>
      </c>
      <c r="C46" s="274" t="s">
        <v>145</v>
      </c>
      <c r="D46" s="285">
        <v>150</v>
      </c>
      <c r="E46" s="218"/>
      <c r="F46" s="219"/>
      <c r="G46" s="286"/>
      <c r="H46" s="304"/>
      <c r="I46" s="185">
        <v>150</v>
      </c>
      <c r="J46" s="185"/>
      <c r="K46" s="186"/>
      <c r="L46" s="185"/>
      <c r="M46" s="185"/>
      <c r="N46" s="185"/>
      <c r="O46" s="305"/>
      <c r="P46" s="318"/>
      <c r="Q46" s="191"/>
      <c r="R46" s="191"/>
      <c r="S46" s="191"/>
      <c r="T46" s="191"/>
      <c r="U46" s="232"/>
      <c r="V46" s="191"/>
      <c r="W46" s="192"/>
      <c r="X46" s="191"/>
      <c r="Y46" s="191"/>
      <c r="Z46" s="191"/>
      <c r="AA46" s="319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170" customFormat="1" ht="12" customHeight="1" x14ac:dyDescent="0.25">
      <c r="A47" s="273">
        <v>44766</v>
      </c>
      <c r="B47" s="231" t="s">
        <v>513</v>
      </c>
      <c r="C47" s="274" t="s">
        <v>145</v>
      </c>
      <c r="D47" s="285">
        <v>38</v>
      </c>
      <c r="E47" s="218"/>
      <c r="F47" s="219"/>
      <c r="G47" s="286"/>
      <c r="H47" s="304"/>
      <c r="I47" s="185"/>
      <c r="J47" s="185"/>
      <c r="K47" s="186">
        <v>38</v>
      </c>
      <c r="L47" s="185"/>
      <c r="M47" s="185"/>
      <c r="N47" s="185"/>
      <c r="O47" s="305"/>
      <c r="P47" s="318"/>
      <c r="Q47" s="191"/>
      <c r="R47" s="191"/>
      <c r="S47" s="191"/>
      <c r="T47" s="191"/>
      <c r="U47" s="232"/>
      <c r="V47" s="191"/>
      <c r="W47" s="192"/>
      <c r="X47" s="191"/>
      <c r="Y47" s="191"/>
      <c r="Z47" s="191"/>
      <c r="AA47" s="319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170" customFormat="1" ht="12" customHeight="1" x14ac:dyDescent="0.25">
      <c r="A48" s="273">
        <v>44766</v>
      </c>
      <c r="B48" s="231" t="s">
        <v>514</v>
      </c>
      <c r="C48" s="274" t="s">
        <v>145</v>
      </c>
      <c r="D48" s="285">
        <v>24</v>
      </c>
      <c r="E48" s="218"/>
      <c r="F48" s="219"/>
      <c r="G48" s="286"/>
      <c r="H48" s="304"/>
      <c r="I48" s="185"/>
      <c r="J48" s="185"/>
      <c r="K48" s="186">
        <v>24</v>
      </c>
      <c r="L48" s="185"/>
      <c r="M48" s="185"/>
      <c r="N48" s="185"/>
      <c r="O48" s="305"/>
      <c r="P48" s="318"/>
      <c r="Q48" s="191"/>
      <c r="R48" s="191"/>
      <c r="S48" s="191"/>
      <c r="T48" s="191"/>
      <c r="U48" s="232"/>
      <c r="V48" s="191"/>
      <c r="W48" s="192"/>
      <c r="X48" s="191"/>
      <c r="Y48" s="191"/>
      <c r="Z48" s="191"/>
      <c r="AA48" s="319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170" customFormat="1" ht="12" customHeight="1" x14ac:dyDescent="0.25">
      <c r="A49" s="273">
        <v>44766</v>
      </c>
      <c r="B49" s="231" t="s">
        <v>515</v>
      </c>
      <c r="C49" s="274" t="s">
        <v>145</v>
      </c>
      <c r="D49" s="285"/>
      <c r="E49" s="218"/>
      <c r="F49" s="219">
        <v>6</v>
      </c>
      <c r="G49" s="286"/>
      <c r="H49" s="304"/>
      <c r="I49" s="185"/>
      <c r="J49" s="185"/>
      <c r="K49" s="186">
        <v>6</v>
      </c>
      <c r="L49" s="185"/>
      <c r="M49" s="185"/>
      <c r="N49" s="185"/>
      <c r="O49" s="305"/>
      <c r="P49" s="318"/>
      <c r="Q49" s="191"/>
      <c r="R49" s="191"/>
      <c r="S49" s="191"/>
      <c r="T49" s="191"/>
      <c r="U49" s="232"/>
      <c r="V49" s="191"/>
      <c r="W49" s="192"/>
      <c r="X49" s="191"/>
      <c r="Y49" s="191"/>
      <c r="Z49" s="191"/>
      <c r="AA49" s="319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44766</v>
      </c>
      <c r="B50" s="231" t="s">
        <v>516</v>
      </c>
      <c r="C50" s="274" t="s">
        <v>145</v>
      </c>
      <c r="D50" s="285"/>
      <c r="E50" s="218"/>
      <c r="F50" s="219">
        <v>10</v>
      </c>
      <c r="G50" s="286"/>
      <c r="H50" s="304"/>
      <c r="I50" s="185"/>
      <c r="J50" s="185"/>
      <c r="K50" s="186">
        <v>10</v>
      </c>
      <c r="L50" s="185"/>
      <c r="M50" s="185"/>
      <c r="N50" s="185"/>
      <c r="O50" s="305"/>
      <c r="P50" s="318"/>
      <c r="Q50" s="191"/>
      <c r="R50" s="191"/>
      <c r="S50" s="191"/>
      <c r="T50" s="191"/>
      <c r="U50" s="232"/>
      <c r="V50" s="191"/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170" customFormat="1" ht="12" customHeight="1" x14ac:dyDescent="0.25">
      <c r="A51" s="273">
        <v>44766</v>
      </c>
      <c r="B51" s="231" t="s">
        <v>516</v>
      </c>
      <c r="C51" s="274" t="s">
        <v>145</v>
      </c>
      <c r="D51" s="285"/>
      <c r="E51" s="218"/>
      <c r="F51" s="219">
        <v>2</v>
      </c>
      <c r="G51" s="286"/>
      <c r="H51" s="304"/>
      <c r="I51" s="185"/>
      <c r="J51" s="185"/>
      <c r="K51" s="186">
        <v>2</v>
      </c>
      <c r="L51" s="185"/>
      <c r="M51" s="185"/>
      <c r="N51" s="185"/>
      <c r="O51" s="305"/>
      <c r="P51" s="318"/>
      <c r="Q51" s="191"/>
      <c r="R51" s="191"/>
      <c r="S51" s="191"/>
      <c r="T51" s="191"/>
      <c r="U51" s="232"/>
      <c r="V51" s="191"/>
      <c r="W51" s="192"/>
      <c r="X51" s="191"/>
      <c r="Y51" s="191"/>
      <c r="Z51" s="191"/>
      <c r="AA51" s="319"/>
      <c r="AB51" s="168"/>
      <c r="AC51" s="168"/>
      <c r="AD51" s="168"/>
      <c r="AE51" s="168"/>
      <c r="AF51" s="168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</row>
    <row r="52" spans="1:115" s="170" customFormat="1" ht="12" customHeight="1" x14ac:dyDescent="0.25">
      <c r="A52" s="273">
        <v>44766</v>
      </c>
      <c r="B52" s="231" t="s">
        <v>516</v>
      </c>
      <c r="C52" s="274" t="s">
        <v>145</v>
      </c>
      <c r="D52" s="285"/>
      <c r="E52" s="218"/>
      <c r="F52" s="219">
        <v>30</v>
      </c>
      <c r="G52" s="286"/>
      <c r="H52" s="304"/>
      <c r="I52" s="185"/>
      <c r="J52" s="185"/>
      <c r="K52" s="186">
        <v>30</v>
      </c>
      <c r="L52" s="185"/>
      <c r="M52" s="185"/>
      <c r="N52" s="185"/>
      <c r="O52" s="305"/>
      <c r="P52" s="318"/>
      <c r="Q52" s="191"/>
      <c r="R52" s="191"/>
      <c r="S52" s="191"/>
      <c r="T52" s="191"/>
      <c r="U52" s="232"/>
      <c r="V52" s="191"/>
      <c r="W52" s="192"/>
      <c r="X52" s="191"/>
      <c r="Y52" s="191"/>
      <c r="Z52" s="191"/>
      <c r="AA52" s="319"/>
      <c r="AB52" s="168"/>
      <c r="AC52" s="168"/>
      <c r="AD52" s="168"/>
      <c r="AE52" s="168"/>
      <c r="AF52" s="168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</row>
    <row r="53" spans="1:115" s="170" customFormat="1" ht="12" customHeight="1" x14ac:dyDescent="0.25">
      <c r="A53" s="273">
        <v>44766</v>
      </c>
      <c r="B53" s="231" t="s">
        <v>517</v>
      </c>
      <c r="C53" s="274" t="s">
        <v>145</v>
      </c>
      <c r="D53" s="285"/>
      <c r="E53" s="218"/>
      <c r="F53" s="219"/>
      <c r="G53" s="286">
        <v>18</v>
      </c>
      <c r="H53" s="304"/>
      <c r="I53" s="185"/>
      <c r="J53" s="185"/>
      <c r="K53" s="186"/>
      <c r="L53" s="185"/>
      <c r="M53" s="185"/>
      <c r="N53" s="185"/>
      <c r="O53" s="305"/>
      <c r="P53" s="318"/>
      <c r="Q53" s="191">
        <v>18</v>
      </c>
      <c r="R53" s="191"/>
      <c r="S53" s="191"/>
      <c r="T53" s="191"/>
      <c r="U53" s="232"/>
      <c r="V53" s="191"/>
      <c r="W53" s="192"/>
      <c r="X53" s="191"/>
      <c r="Y53" s="191"/>
      <c r="Z53" s="191"/>
      <c r="AA53" s="319"/>
      <c r="AB53" s="168"/>
      <c r="AC53" s="168"/>
      <c r="AD53" s="168"/>
      <c r="AE53" s="168"/>
      <c r="AF53" s="168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</row>
    <row r="54" spans="1:115" s="527" customFormat="1" ht="12" customHeight="1" x14ac:dyDescent="0.25">
      <c r="A54" s="511">
        <v>44767</v>
      </c>
      <c r="B54" s="512" t="s">
        <v>380</v>
      </c>
      <c r="C54" s="513" t="s">
        <v>145</v>
      </c>
      <c r="D54" s="514">
        <v>100</v>
      </c>
      <c r="E54" s="515"/>
      <c r="F54" s="516"/>
      <c r="G54" s="517"/>
      <c r="H54" s="518"/>
      <c r="I54" s="519">
        <v>100</v>
      </c>
      <c r="J54" s="519"/>
      <c r="K54" s="520"/>
      <c r="L54" s="519"/>
      <c r="M54" s="519"/>
      <c r="N54" s="519"/>
      <c r="O54" s="521"/>
      <c r="P54" s="522"/>
      <c r="Q54" s="523"/>
      <c r="R54" s="523"/>
      <c r="S54" s="523"/>
      <c r="T54" s="523"/>
      <c r="U54" s="524"/>
      <c r="V54" s="523"/>
      <c r="W54" s="525"/>
      <c r="X54" s="523"/>
      <c r="Y54" s="523"/>
      <c r="Z54" s="523"/>
      <c r="AA54" s="526"/>
      <c r="AB54" s="168"/>
      <c r="AC54" s="168"/>
      <c r="AD54" s="168"/>
      <c r="AE54" s="168"/>
      <c r="AF54" s="168"/>
      <c r="AG54" s="168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</row>
    <row r="55" spans="1:115" s="527" customFormat="1" ht="12" customHeight="1" x14ac:dyDescent="0.25">
      <c r="A55" s="511">
        <v>44768</v>
      </c>
      <c r="B55" s="512" t="s">
        <v>232</v>
      </c>
      <c r="C55" s="513" t="s">
        <v>145</v>
      </c>
      <c r="D55" s="514">
        <v>65</v>
      </c>
      <c r="E55" s="515"/>
      <c r="F55" s="516"/>
      <c r="G55" s="517"/>
      <c r="H55" s="518"/>
      <c r="I55" s="519">
        <v>65</v>
      </c>
      <c r="J55" s="519"/>
      <c r="K55" s="520"/>
      <c r="L55" s="519"/>
      <c r="M55" s="519"/>
      <c r="N55" s="519"/>
      <c r="O55" s="521"/>
      <c r="P55" s="522"/>
      <c r="Q55" s="523"/>
      <c r="R55" s="523"/>
      <c r="S55" s="523"/>
      <c r="T55" s="523"/>
      <c r="U55" s="524"/>
      <c r="V55" s="523"/>
      <c r="W55" s="525"/>
      <c r="X55" s="523"/>
      <c r="Y55" s="523"/>
      <c r="Z55" s="523"/>
      <c r="AA55" s="526"/>
      <c r="AB55" s="168"/>
      <c r="AC55" s="168"/>
      <c r="AD55" s="168"/>
      <c r="AE55" s="168"/>
      <c r="AF55" s="168"/>
      <c r="AG55" s="168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</row>
    <row r="56" spans="1:115" s="527" customFormat="1" ht="12" customHeight="1" x14ac:dyDescent="0.25">
      <c r="A56" s="511">
        <v>44769</v>
      </c>
      <c r="B56" s="512" t="s">
        <v>518</v>
      </c>
      <c r="C56" s="513" t="s">
        <v>145</v>
      </c>
      <c r="D56" s="514">
        <v>60.83</v>
      </c>
      <c r="E56" s="515"/>
      <c r="F56" s="516"/>
      <c r="G56" s="517"/>
      <c r="H56" s="518"/>
      <c r="I56" s="519">
        <v>60.83</v>
      </c>
      <c r="J56" s="519"/>
      <c r="K56" s="520"/>
      <c r="L56" s="519"/>
      <c r="M56" s="519"/>
      <c r="N56" s="519"/>
      <c r="O56" s="521"/>
      <c r="P56" s="522"/>
      <c r="Q56" s="523"/>
      <c r="R56" s="523"/>
      <c r="S56" s="523"/>
      <c r="T56" s="523"/>
      <c r="U56" s="524"/>
      <c r="V56" s="523"/>
      <c r="W56" s="525"/>
      <c r="X56" s="523"/>
      <c r="Y56" s="523"/>
      <c r="Z56" s="523"/>
      <c r="AA56" s="526"/>
      <c r="AB56" s="168"/>
      <c r="AC56" s="168"/>
      <c r="AD56" s="168"/>
      <c r="AE56" s="168"/>
      <c r="AF56" s="168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</row>
    <row r="57" spans="1:115" s="170" customFormat="1" ht="12" customHeight="1" x14ac:dyDescent="0.25">
      <c r="A57" s="273">
        <v>44770</v>
      </c>
      <c r="B57" s="231" t="s">
        <v>208</v>
      </c>
      <c r="C57" s="274" t="s">
        <v>145</v>
      </c>
      <c r="D57" s="285"/>
      <c r="E57" s="218">
        <v>172.8</v>
      </c>
      <c r="F57" s="219"/>
      <c r="G57" s="286"/>
      <c r="H57" s="304"/>
      <c r="I57" s="185"/>
      <c r="J57" s="185"/>
      <c r="K57" s="186"/>
      <c r="L57" s="185"/>
      <c r="M57" s="185"/>
      <c r="N57" s="185"/>
      <c r="O57" s="305"/>
      <c r="P57" s="318"/>
      <c r="Q57" s="191"/>
      <c r="R57" s="191"/>
      <c r="S57" s="191"/>
      <c r="T57" s="191"/>
      <c r="U57" s="232"/>
      <c r="V57" s="191">
        <v>172.8</v>
      </c>
      <c r="W57" s="192"/>
      <c r="X57" s="191"/>
      <c r="Y57" s="191"/>
      <c r="Z57" s="191"/>
      <c r="AA57" s="319"/>
      <c r="AB57" s="168"/>
      <c r="AC57" s="168"/>
      <c r="AD57" s="168"/>
      <c r="AE57" s="168"/>
      <c r="AF57" s="168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</row>
    <row r="58" spans="1:115" s="527" customFormat="1" ht="12" customHeight="1" x14ac:dyDescent="0.25">
      <c r="A58" s="511">
        <v>44771</v>
      </c>
      <c r="B58" s="512" t="s">
        <v>520</v>
      </c>
      <c r="C58" s="513" t="s">
        <v>145</v>
      </c>
      <c r="D58" s="514">
        <v>29</v>
      </c>
      <c r="E58" s="515"/>
      <c r="F58" s="516"/>
      <c r="G58" s="517"/>
      <c r="H58" s="518"/>
      <c r="I58" s="519">
        <v>29</v>
      </c>
      <c r="J58" s="519"/>
      <c r="K58" s="520"/>
      <c r="L58" s="519"/>
      <c r="M58" s="519"/>
      <c r="N58" s="519"/>
      <c r="O58" s="521"/>
      <c r="P58" s="522"/>
      <c r="Q58" s="523"/>
      <c r="R58" s="523"/>
      <c r="S58" s="523"/>
      <c r="T58" s="523"/>
      <c r="U58" s="524"/>
      <c r="V58" s="523"/>
      <c r="W58" s="525"/>
      <c r="X58" s="523"/>
      <c r="Y58" s="523"/>
      <c r="Z58" s="523"/>
      <c r="AA58" s="526"/>
      <c r="AB58" s="168"/>
      <c r="AC58" s="168"/>
      <c r="AD58" s="168"/>
      <c r="AE58" s="168"/>
      <c r="AF58" s="168"/>
      <c r="AG58" s="168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</row>
    <row r="59" spans="1:115" s="170" customFormat="1" ht="12" customHeight="1" x14ac:dyDescent="0.25">
      <c r="A59" s="273">
        <v>44771</v>
      </c>
      <c r="B59" s="231" t="s">
        <v>215</v>
      </c>
      <c r="C59" s="274" t="s">
        <v>145</v>
      </c>
      <c r="D59" s="285"/>
      <c r="E59" s="218">
        <v>60</v>
      </c>
      <c r="F59" s="219"/>
      <c r="G59" s="286"/>
      <c r="H59" s="304"/>
      <c r="I59" s="185"/>
      <c r="J59" s="185"/>
      <c r="K59" s="186"/>
      <c r="L59" s="185"/>
      <c r="M59" s="185"/>
      <c r="N59" s="185"/>
      <c r="O59" s="305"/>
      <c r="P59" s="318"/>
      <c r="Q59" s="191"/>
      <c r="R59" s="191"/>
      <c r="S59" s="191"/>
      <c r="T59" s="191"/>
      <c r="U59" s="232"/>
      <c r="V59" s="191">
        <v>60</v>
      </c>
      <c r="W59" s="192"/>
      <c r="X59" s="191"/>
      <c r="Y59" s="191"/>
      <c r="Z59" s="191"/>
      <c r="AA59" s="319"/>
      <c r="AB59" s="168"/>
      <c r="AC59" s="168"/>
      <c r="AD59" s="168"/>
      <c r="AE59" s="168"/>
      <c r="AF59" s="168"/>
      <c r="AG59" s="168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</row>
    <row r="60" spans="1:115" s="170" customFormat="1" ht="12" customHeight="1" x14ac:dyDescent="0.25">
      <c r="A60" s="273">
        <v>44772</v>
      </c>
      <c r="B60" s="231" t="s">
        <v>351</v>
      </c>
      <c r="C60" s="274" t="s">
        <v>145</v>
      </c>
      <c r="D60" s="285">
        <v>70</v>
      </c>
      <c r="E60" s="218"/>
      <c r="F60" s="219"/>
      <c r="G60" s="286"/>
      <c r="H60" s="304"/>
      <c r="I60" s="185">
        <v>70</v>
      </c>
      <c r="J60" s="185"/>
      <c r="K60" s="186"/>
      <c r="L60" s="185"/>
      <c r="M60" s="185"/>
      <c r="N60" s="185"/>
      <c r="O60" s="305"/>
      <c r="P60" s="318"/>
      <c r="Q60" s="191"/>
      <c r="R60" s="191"/>
      <c r="S60" s="191"/>
      <c r="T60" s="191"/>
      <c r="U60" s="232"/>
      <c r="V60" s="191"/>
      <c r="W60" s="192"/>
      <c r="X60" s="191"/>
      <c r="Y60" s="191"/>
      <c r="Z60" s="191"/>
      <c r="AA60" s="319"/>
      <c r="AB60" s="168"/>
      <c r="AC60" s="168"/>
      <c r="AD60" s="168"/>
      <c r="AE60" s="168"/>
      <c r="AF60" s="168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</row>
    <row r="61" spans="1:115" s="170" customFormat="1" ht="12" customHeight="1" x14ac:dyDescent="0.25">
      <c r="A61" s="273">
        <v>44772</v>
      </c>
      <c r="B61" s="231" t="s">
        <v>521</v>
      </c>
      <c r="C61" s="274" t="s">
        <v>145</v>
      </c>
      <c r="D61" s="285">
        <v>150</v>
      </c>
      <c r="E61" s="218"/>
      <c r="F61" s="219"/>
      <c r="G61" s="286"/>
      <c r="H61" s="304"/>
      <c r="I61" s="185"/>
      <c r="J61" s="185"/>
      <c r="K61" s="186">
        <v>150</v>
      </c>
      <c r="L61" s="185"/>
      <c r="M61" s="185"/>
      <c r="N61" s="185"/>
      <c r="O61" s="305"/>
      <c r="P61" s="318"/>
      <c r="Q61" s="191"/>
      <c r="R61" s="191"/>
      <c r="S61" s="191"/>
      <c r="T61" s="191"/>
      <c r="U61" s="232"/>
      <c r="V61" s="191"/>
      <c r="W61" s="192"/>
      <c r="X61" s="191"/>
      <c r="Y61" s="191"/>
      <c r="Z61" s="191"/>
      <c r="AA61" s="319"/>
      <c r="AB61" s="168"/>
      <c r="AC61" s="168"/>
      <c r="AD61" s="168"/>
      <c r="AE61" s="168"/>
      <c r="AF61" s="168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</row>
    <row r="62" spans="1:115" s="527" customFormat="1" ht="12" customHeight="1" x14ac:dyDescent="0.25">
      <c r="A62" s="511">
        <v>44772</v>
      </c>
      <c r="B62" s="512" t="s">
        <v>522</v>
      </c>
      <c r="C62" s="513" t="s">
        <v>145</v>
      </c>
      <c r="D62" s="514"/>
      <c r="E62" s="515"/>
      <c r="F62" s="516">
        <v>7.5</v>
      </c>
      <c r="G62" s="517"/>
      <c r="H62" s="518"/>
      <c r="I62" s="519"/>
      <c r="J62" s="519"/>
      <c r="K62" s="520">
        <v>7.5</v>
      </c>
      <c r="L62" s="519"/>
      <c r="M62" s="519"/>
      <c r="N62" s="519"/>
      <c r="O62" s="521"/>
      <c r="P62" s="522"/>
      <c r="Q62" s="523"/>
      <c r="R62" s="523"/>
      <c r="S62" s="523"/>
      <c r="T62" s="523"/>
      <c r="U62" s="524"/>
      <c r="V62" s="523"/>
      <c r="W62" s="525"/>
      <c r="X62" s="523"/>
      <c r="Y62" s="523"/>
      <c r="Z62" s="523"/>
      <c r="AA62" s="526"/>
      <c r="AB62" s="168"/>
      <c r="AC62" s="168"/>
      <c r="AD62" s="168"/>
      <c r="AE62" s="168"/>
      <c r="AF62" s="168"/>
      <c r="AG62" s="168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</row>
    <row r="63" spans="1:115" s="527" customFormat="1" ht="12" customHeight="1" x14ac:dyDescent="0.25">
      <c r="A63" s="511">
        <v>44772</v>
      </c>
      <c r="B63" s="512" t="s">
        <v>523</v>
      </c>
      <c r="C63" s="513" t="s">
        <v>145</v>
      </c>
      <c r="D63" s="514">
        <v>12</v>
      </c>
      <c r="E63" s="515"/>
      <c r="F63" s="516"/>
      <c r="G63" s="517"/>
      <c r="H63" s="518"/>
      <c r="I63" s="519"/>
      <c r="J63" s="519"/>
      <c r="K63" s="520">
        <v>12</v>
      </c>
      <c r="L63" s="519"/>
      <c r="M63" s="519"/>
      <c r="N63" s="519"/>
      <c r="O63" s="521"/>
      <c r="P63" s="522"/>
      <c r="Q63" s="523"/>
      <c r="R63" s="523"/>
      <c r="S63" s="523"/>
      <c r="T63" s="523"/>
      <c r="U63" s="524"/>
      <c r="V63" s="523"/>
      <c r="W63" s="525"/>
      <c r="X63" s="523"/>
      <c r="Y63" s="523"/>
      <c r="Z63" s="523"/>
      <c r="AA63" s="526"/>
      <c r="AB63" s="168"/>
      <c r="AC63" s="168"/>
      <c r="AD63" s="168"/>
      <c r="AE63" s="168"/>
      <c r="AF63" s="168"/>
      <c r="AG63" s="168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</row>
    <row r="64" spans="1:115" s="527" customFormat="1" ht="12" customHeight="1" x14ac:dyDescent="0.25">
      <c r="A64" s="511">
        <v>44772</v>
      </c>
      <c r="B64" s="512" t="s">
        <v>524</v>
      </c>
      <c r="C64" s="513" t="s">
        <v>145</v>
      </c>
      <c r="D64" s="514"/>
      <c r="E64" s="515"/>
      <c r="F64" s="516">
        <v>30</v>
      </c>
      <c r="G64" s="517"/>
      <c r="H64" s="518"/>
      <c r="I64" s="519"/>
      <c r="J64" s="519"/>
      <c r="K64" s="520">
        <v>30</v>
      </c>
      <c r="L64" s="519"/>
      <c r="M64" s="519"/>
      <c r="N64" s="519"/>
      <c r="O64" s="521"/>
      <c r="P64" s="522"/>
      <c r="Q64" s="523"/>
      <c r="R64" s="523"/>
      <c r="S64" s="523"/>
      <c r="T64" s="523"/>
      <c r="U64" s="524"/>
      <c r="V64" s="523"/>
      <c r="W64" s="525"/>
      <c r="X64" s="523"/>
      <c r="Y64" s="523"/>
      <c r="Z64" s="523"/>
      <c r="AA64" s="526"/>
      <c r="AB64" s="168"/>
      <c r="AC64" s="168"/>
      <c r="AD64" s="168"/>
      <c r="AE64" s="168"/>
      <c r="AF64" s="168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</row>
    <row r="65" spans="1:115" s="170" customFormat="1" ht="12" customHeight="1" x14ac:dyDescent="0.25">
      <c r="A65" s="273">
        <v>44772</v>
      </c>
      <c r="B65" s="231" t="s">
        <v>526</v>
      </c>
      <c r="C65" s="274" t="s">
        <v>145</v>
      </c>
      <c r="D65" s="285"/>
      <c r="E65" s="218"/>
      <c r="F65" s="219">
        <v>24</v>
      </c>
      <c r="G65" s="286"/>
      <c r="H65" s="304"/>
      <c r="I65" s="185"/>
      <c r="J65" s="185"/>
      <c r="K65" s="186">
        <v>24</v>
      </c>
      <c r="L65" s="185"/>
      <c r="M65" s="185"/>
      <c r="N65" s="185"/>
      <c r="O65" s="305"/>
      <c r="P65" s="318"/>
      <c r="Q65" s="191"/>
      <c r="R65" s="191"/>
      <c r="S65" s="191"/>
      <c r="T65" s="191"/>
      <c r="U65" s="232"/>
      <c r="V65" s="191"/>
      <c r="W65" s="192"/>
      <c r="X65" s="191"/>
      <c r="Y65" s="191"/>
      <c r="Z65" s="191"/>
      <c r="AA65" s="319"/>
      <c r="AB65" s="168"/>
      <c r="AC65" s="168"/>
      <c r="AD65" s="168"/>
      <c r="AE65" s="168"/>
      <c r="AF65" s="168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</row>
    <row r="66" spans="1:115" s="170" customFormat="1" ht="12" customHeight="1" x14ac:dyDescent="0.25">
      <c r="A66" s="273">
        <v>44772</v>
      </c>
      <c r="B66" s="231" t="s">
        <v>525</v>
      </c>
      <c r="C66" s="274" t="s">
        <v>145</v>
      </c>
      <c r="D66" s="285">
        <v>132</v>
      </c>
      <c r="E66" s="218"/>
      <c r="F66" s="219"/>
      <c r="G66" s="286"/>
      <c r="H66" s="304"/>
      <c r="I66" s="185"/>
      <c r="J66" s="185"/>
      <c r="K66" s="186">
        <v>132</v>
      </c>
      <c r="L66" s="185"/>
      <c r="M66" s="185"/>
      <c r="N66" s="185"/>
      <c r="O66" s="305"/>
      <c r="P66" s="318"/>
      <c r="Q66" s="191"/>
      <c r="R66" s="191"/>
      <c r="S66" s="191"/>
      <c r="T66" s="191"/>
      <c r="U66" s="232"/>
      <c r="V66" s="191"/>
      <c r="W66" s="192"/>
      <c r="X66" s="191"/>
      <c r="Y66" s="191"/>
      <c r="Z66" s="191"/>
      <c r="AA66" s="319"/>
      <c r="AB66" s="168"/>
      <c r="AC66" s="168"/>
      <c r="AD66" s="168"/>
      <c r="AE66" s="168"/>
      <c r="AF66" s="168"/>
      <c r="AG66" s="168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</row>
    <row r="67" spans="1:115" s="527" customFormat="1" ht="12" customHeight="1" x14ac:dyDescent="0.25">
      <c r="A67" s="511">
        <v>44772</v>
      </c>
      <c r="B67" s="512" t="s">
        <v>527</v>
      </c>
      <c r="C67" s="513" t="s">
        <v>145</v>
      </c>
      <c r="D67" s="514"/>
      <c r="E67" s="515"/>
      <c r="F67" s="516">
        <v>103</v>
      </c>
      <c r="G67" s="517"/>
      <c r="H67" s="518"/>
      <c r="I67" s="519"/>
      <c r="J67" s="519"/>
      <c r="K67" s="520">
        <v>103</v>
      </c>
      <c r="L67" s="519"/>
      <c r="M67" s="519"/>
      <c r="N67" s="519"/>
      <c r="O67" s="521"/>
      <c r="P67" s="522"/>
      <c r="Q67" s="523"/>
      <c r="R67" s="523"/>
      <c r="S67" s="523"/>
      <c r="T67" s="523"/>
      <c r="U67" s="524"/>
      <c r="V67" s="523"/>
      <c r="W67" s="525"/>
      <c r="X67" s="523"/>
      <c r="Y67" s="523"/>
      <c r="Z67" s="523"/>
      <c r="AA67" s="526"/>
      <c r="AB67" s="168"/>
      <c r="AC67" s="168"/>
      <c r="AD67" s="168"/>
      <c r="AE67" s="168"/>
      <c r="AF67" s="168"/>
      <c r="AG67" s="168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</row>
    <row r="68" spans="1:115" s="527" customFormat="1" ht="12" customHeight="1" x14ac:dyDescent="0.25">
      <c r="A68" s="511">
        <v>44772</v>
      </c>
      <c r="B68" s="512" t="s">
        <v>528</v>
      </c>
      <c r="C68" s="513" t="s">
        <v>145</v>
      </c>
      <c r="D68" s="514">
        <v>30</v>
      </c>
      <c r="E68" s="515"/>
      <c r="F68" s="516"/>
      <c r="G68" s="517"/>
      <c r="H68" s="518"/>
      <c r="I68" s="519"/>
      <c r="J68" s="519"/>
      <c r="K68" s="520">
        <v>30</v>
      </c>
      <c r="L68" s="519"/>
      <c r="M68" s="519"/>
      <c r="N68" s="519"/>
      <c r="O68" s="521"/>
      <c r="P68" s="522"/>
      <c r="Q68" s="523"/>
      <c r="R68" s="523"/>
      <c r="S68" s="523"/>
      <c r="T68" s="523"/>
      <c r="U68" s="524"/>
      <c r="V68" s="523"/>
      <c r="W68" s="525"/>
      <c r="X68" s="523"/>
      <c r="Y68" s="523"/>
      <c r="Z68" s="523"/>
      <c r="AA68" s="526"/>
      <c r="AB68" s="168"/>
      <c r="AC68" s="168"/>
      <c r="AD68" s="168"/>
      <c r="AE68" s="168"/>
      <c r="AF68" s="168"/>
      <c r="AG68" s="168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</row>
    <row r="69" spans="1:115" s="527" customFormat="1" ht="12" customHeight="1" x14ac:dyDescent="0.25">
      <c r="A69" s="511">
        <v>44772</v>
      </c>
      <c r="B69" s="512" t="s">
        <v>529</v>
      </c>
      <c r="C69" s="513" t="s">
        <v>145</v>
      </c>
      <c r="D69" s="514"/>
      <c r="E69" s="515"/>
      <c r="F69" s="516">
        <v>50</v>
      </c>
      <c r="G69" s="517"/>
      <c r="H69" s="518"/>
      <c r="I69" s="519"/>
      <c r="J69" s="519"/>
      <c r="K69" s="520">
        <v>50</v>
      </c>
      <c r="L69" s="519"/>
      <c r="M69" s="519"/>
      <c r="N69" s="519"/>
      <c r="O69" s="521"/>
      <c r="P69" s="522"/>
      <c r="Q69" s="523"/>
      <c r="R69" s="523"/>
      <c r="S69" s="523"/>
      <c r="T69" s="523"/>
      <c r="U69" s="524"/>
      <c r="V69" s="523"/>
      <c r="W69" s="525"/>
      <c r="X69" s="523"/>
      <c r="Y69" s="523"/>
      <c r="Z69" s="523"/>
      <c r="AA69" s="526"/>
      <c r="AB69" s="168"/>
      <c r="AC69" s="168"/>
      <c r="AD69" s="168"/>
      <c r="AE69" s="168"/>
      <c r="AF69" s="168"/>
      <c r="AG69" s="168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</row>
    <row r="70" spans="1:115" s="527" customFormat="1" ht="12" customHeight="1" x14ac:dyDescent="0.25">
      <c r="A70" s="511">
        <v>44772</v>
      </c>
      <c r="B70" s="512" t="s">
        <v>530</v>
      </c>
      <c r="C70" s="513" t="s">
        <v>145</v>
      </c>
      <c r="D70" s="514">
        <v>105.5</v>
      </c>
      <c r="E70" s="515"/>
      <c r="F70" s="516"/>
      <c r="G70" s="517"/>
      <c r="H70" s="518"/>
      <c r="I70" s="519"/>
      <c r="J70" s="519"/>
      <c r="K70" s="520">
        <v>105.5</v>
      </c>
      <c r="L70" s="519"/>
      <c r="M70" s="519"/>
      <c r="N70" s="519"/>
      <c r="O70" s="521"/>
      <c r="P70" s="522"/>
      <c r="Q70" s="523"/>
      <c r="R70" s="523"/>
      <c r="S70" s="523"/>
      <c r="T70" s="523"/>
      <c r="U70" s="524"/>
      <c r="V70" s="523"/>
      <c r="W70" s="525"/>
      <c r="X70" s="523"/>
      <c r="Y70" s="523"/>
      <c r="Z70" s="523"/>
      <c r="AA70" s="526"/>
      <c r="AB70" s="168"/>
      <c r="AC70" s="168"/>
      <c r="AD70" s="168"/>
      <c r="AE70" s="168"/>
      <c r="AF70" s="168"/>
      <c r="AG70" s="168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</row>
    <row r="71" spans="1:115" s="527" customFormat="1" ht="12" customHeight="1" x14ac:dyDescent="0.25">
      <c r="A71" s="511">
        <v>44772</v>
      </c>
      <c r="B71" s="512" t="s">
        <v>522</v>
      </c>
      <c r="C71" s="513" t="s">
        <v>145</v>
      </c>
      <c r="D71" s="514"/>
      <c r="E71" s="515"/>
      <c r="F71" s="516">
        <v>89</v>
      </c>
      <c r="G71" s="517"/>
      <c r="H71" s="518"/>
      <c r="I71" s="519"/>
      <c r="J71" s="519"/>
      <c r="K71" s="520">
        <v>89</v>
      </c>
      <c r="L71" s="519"/>
      <c r="M71" s="519"/>
      <c r="N71" s="519"/>
      <c r="O71" s="521"/>
      <c r="P71" s="522"/>
      <c r="Q71" s="523"/>
      <c r="R71" s="523"/>
      <c r="S71" s="523"/>
      <c r="T71" s="523"/>
      <c r="U71" s="524"/>
      <c r="V71" s="523"/>
      <c r="W71" s="525"/>
      <c r="X71" s="523"/>
      <c r="Y71" s="523"/>
      <c r="Z71" s="523"/>
      <c r="AA71" s="526"/>
      <c r="AB71" s="168"/>
      <c r="AC71" s="168"/>
      <c r="AD71" s="168"/>
      <c r="AE71" s="168"/>
      <c r="AF71" s="168"/>
      <c r="AG71" s="168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</row>
    <row r="72" spans="1:115" s="527" customFormat="1" ht="12" customHeight="1" x14ac:dyDescent="0.25">
      <c r="A72" s="511">
        <v>44772</v>
      </c>
      <c r="B72" s="512" t="s">
        <v>531</v>
      </c>
      <c r="C72" s="513" t="s">
        <v>145</v>
      </c>
      <c r="D72" s="514">
        <v>49</v>
      </c>
      <c r="E72" s="515"/>
      <c r="F72" s="516"/>
      <c r="G72" s="517"/>
      <c r="H72" s="518"/>
      <c r="I72" s="519"/>
      <c r="J72" s="519"/>
      <c r="K72" s="520">
        <v>49</v>
      </c>
      <c r="L72" s="519"/>
      <c r="M72" s="519"/>
      <c r="N72" s="519"/>
      <c r="O72" s="521"/>
      <c r="P72" s="522"/>
      <c r="Q72" s="523"/>
      <c r="R72" s="523"/>
      <c r="S72" s="523"/>
      <c r="T72" s="523"/>
      <c r="U72" s="524"/>
      <c r="V72" s="523"/>
      <c r="W72" s="525"/>
      <c r="X72" s="523"/>
      <c r="Y72" s="523"/>
      <c r="Z72" s="523"/>
      <c r="AA72" s="526"/>
      <c r="AB72" s="168"/>
      <c r="AC72" s="168"/>
      <c r="AD72" s="168"/>
      <c r="AE72" s="168"/>
      <c r="AF72" s="168"/>
      <c r="AG72" s="168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</row>
    <row r="73" spans="1:115" s="170" customFormat="1" ht="12" customHeight="1" x14ac:dyDescent="0.25">
      <c r="A73" s="273">
        <v>44772</v>
      </c>
      <c r="B73" s="231" t="s">
        <v>531</v>
      </c>
      <c r="C73" s="274" t="s">
        <v>145</v>
      </c>
      <c r="D73" s="285"/>
      <c r="E73" s="218"/>
      <c r="F73" s="219">
        <v>2</v>
      </c>
      <c r="G73" s="286"/>
      <c r="H73" s="304"/>
      <c r="I73" s="185"/>
      <c r="J73" s="185"/>
      <c r="K73" s="186">
        <v>2</v>
      </c>
      <c r="L73" s="185"/>
      <c r="M73" s="185"/>
      <c r="N73" s="185"/>
      <c r="O73" s="305"/>
      <c r="P73" s="318"/>
      <c r="Q73" s="191"/>
      <c r="R73" s="191"/>
      <c r="S73" s="191"/>
      <c r="T73" s="191"/>
      <c r="U73" s="232"/>
      <c r="V73" s="191"/>
      <c r="W73" s="192"/>
      <c r="X73" s="191"/>
      <c r="Y73" s="191"/>
      <c r="Z73" s="191"/>
      <c r="AA73" s="319"/>
      <c r="AB73" s="168"/>
      <c r="AC73" s="168"/>
      <c r="AD73" s="168"/>
      <c r="AE73" s="168"/>
      <c r="AF73" s="168"/>
      <c r="AG73" s="168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</row>
    <row r="74" spans="1:115" s="170" customFormat="1" ht="12" customHeight="1" x14ac:dyDescent="0.25">
      <c r="A74" s="273">
        <v>44772</v>
      </c>
      <c r="B74" s="231" t="s">
        <v>194</v>
      </c>
      <c r="C74" s="274" t="s">
        <v>145</v>
      </c>
      <c r="D74" s="285">
        <v>50</v>
      </c>
      <c r="E74" s="218"/>
      <c r="F74" s="219"/>
      <c r="G74" s="286"/>
      <c r="H74" s="304"/>
      <c r="I74" s="185">
        <v>50</v>
      </c>
      <c r="J74" s="185"/>
      <c r="K74" s="186"/>
      <c r="L74" s="185"/>
      <c r="M74" s="185"/>
      <c r="N74" s="185"/>
      <c r="O74" s="305"/>
      <c r="P74" s="318"/>
      <c r="Q74" s="191"/>
      <c r="R74" s="191"/>
      <c r="S74" s="191"/>
      <c r="T74" s="191"/>
      <c r="U74" s="232"/>
      <c r="V74" s="191"/>
      <c r="W74" s="192"/>
      <c r="X74" s="191"/>
      <c r="Y74" s="191"/>
      <c r="Z74" s="191"/>
      <c r="AA74" s="319"/>
      <c r="AB74" s="168"/>
      <c r="AC74" s="168"/>
      <c r="AD74" s="168"/>
      <c r="AE74" s="168"/>
      <c r="AF74" s="168"/>
      <c r="AG74" s="168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</row>
    <row r="75" spans="1:115" s="527" customFormat="1" ht="12" customHeight="1" x14ac:dyDescent="0.25">
      <c r="A75" s="511">
        <v>44773</v>
      </c>
      <c r="B75" s="512" t="s">
        <v>532</v>
      </c>
      <c r="C75" s="513" t="s">
        <v>145</v>
      </c>
      <c r="D75" s="514"/>
      <c r="E75" s="515"/>
      <c r="F75" s="516"/>
      <c r="G75" s="517">
        <v>38.200000000000003</v>
      </c>
      <c r="H75" s="518"/>
      <c r="I75" s="519"/>
      <c r="J75" s="519"/>
      <c r="K75" s="520"/>
      <c r="L75" s="519"/>
      <c r="M75" s="519"/>
      <c r="N75" s="519"/>
      <c r="O75" s="521"/>
      <c r="P75" s="522"/>
      <c r="Q75" s="523">
        <v>38.200000000000003</v>
      </c>
      <c r="R75" s="523"/>
      <c r="S75" s="523"/>
      <c r="T75" s="523"/>
      <c r="U75" s="524"/>
      <c r="V75" s="523"/>
      <c r="W75" s="525"/>
      <c r="X75" s="523"/>
      <c r="Y75" s="523"/>
      <c r="Z75" s="523"/>
      <c r="AA75" s="526"/>
      <c r="AB75" s="168"/>
      <c r="AC75" s="168"/>
      <c r="AD75" s="168"/>
      <c r="AE75" s="168"/>
      <c r="AF75" s="168"/>
      <c r="AG75" s="168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</row>
    <row r="76" spans="1:115" s="527" customFormat="1" ht="12" customHeight="1" x14ac:dyDescent="0.25">
      <c r="A76" s="511">
        <v>44773</v>
      </c>
      <c r="B76" s="512" t="s">
        <v>533</v>
      </c>
      <c r="C76" s="513" t="s">
        <v>145</v>
      </c>
      <c r="D76" s="514"/>
      <c r="E76" s="515"/>
      <c r="F76" s="516"/>
      <c r="G76" s="517">
        <v>20</v>
      </c>
      <c r="H76" s="518"/>
      <c r="I76" s="519"/>
      <c r="J76" s="519"/>
      <c r="K76" s="520"/>
      <c r="L76" s="519"/>
      <c r="M76" s="519"/>
      <c r="N76" s="519"/>
      <c r="O76" s="521"/>
      <c r="P76" s="522"/>
      <c r="Q76" s="523">
        <v>20</v>
      </c>
      <c r="R76" s="523"/>
      <c r="S76" s="523"/>
      <c r="T76" s="523"/>
      <c r="U76" s="524"/>
      <c r="V76" s="523"/>
      <c r="W76" s="525"/>
      <c r="X76" s="523"/>
      <c r="Y76" s="523"/>
      <c r="Z76" s="523"/>
      <c r="AA76" s="526"/>
      <c r="AB76" s="168"/>
      <c r="AC76" s="168"/>
      <c r="AD76" s="168"/>
      <c r="AE76" s="168"/>
      <c r="AF76" s="168"/>
      <c r="AG76" s="168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</row>
    <row r="77" spans="1:115" s="527" customFormat="1" ht="12" customHeight="1" x14ac:dyDescent="0.25">
      <c r="A77" s="511">
        <v>44773</v>
      </c>
      <c r="B77" s="512" t="s">
        <v>534</v>
      </c>
      <c r="C77" s="513" t="s">
        <v>145</v>
      </c>
      <c r="D77" s="514">
        <v>348.6</v>
      </c>
      <c r="E77" s="515"/>
      <c r="F77" s="516"/>
      <c r="G77" s="517">
        <v>348.6</v>
      </c>
      <c r="H77" s="518"/>
      <c r="I77" s="519"/>
      <c r="J77" s="519"/>
      <c r="K77" s="520"/>
      <c r="L77" s="519"/>
      <c r="M77" s="519"/>
      <c r="N77" s="519"/>
      <c r="O77" s="521"/>
      <c r="P77" s="522"/>
      <c r="Q77" s="523"/>
      <c r="R77" s="523"/>
      <c r="S77" s="523"/>
      <c r="T77" s="523"/>
      <c r="U77" s="524"/>
      <c r="V77" s="523"/>
      <c r="W77" s="525"/>
      <c r="X77" s="523"/>
      <c r="Y77" s="523"/>
      <c r="Z77" s="523"/>
      <c r="AA77" s="526"/>
      <c r="AB77" s="168"/>
      <c r="AC77" s="168"/>
      <c r="AD77" s="168"/>
      <c r="AE77" s="168"/>
      <c r="AF77" s="168"/>
      <c r="AG77" s="168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</row>
    <row r="78" spans="1:115" s="170" customFormat="1" ht="12" customHeight="1" x14ac:dyDescent="0.25">
      <c r="A78" s="273">
        <v>44773</v>
      </c>
      <c r="B78" s="231" t="s">
        <v>426</v>
      </c>
      <c r="C78" s="274" t="s">
        <v>145</v>
      </c>
      <c r="D78" s="285">
        <v>50</v>
      </c>
      <c r="E78" s="218"/>
      <c r="F78" s="219"/>
      <c r="G78" s="286"/>
      <c r="H78" s="304"/>
      <c r="I78" s="185">
        <v>50</v>
      </c>
      <c r="J78" s="185"/>
      <c r="K78" s="186"/>
      <c r="L78" s="185"/>
      <c r="M78" s="185"/>
      <c r="N78" s="185"/>
      <c r="O78" s="305"/>
      <c r="P78" s="318"/>
      <c r="Q78" s="191"/>
      <c r="R78" s="191"/>
      <c r="S78" s="191"/>
      <c r="T78" s="191"/>
      <c r="U78" s="232"/>
      <c r="V78" s="191"/>
      <c r="W78" s="192"/>
      <c r="X78" s="191"/>
      <c r="Y78" s="191"/>
      <c r="Z78" s="191"/>
      <c r="AA78" s="319"/>
      <c r="AB78" s="168"/>
      <c r="AC78" s="168"/>
      <c r="AD78" s="168"/>
      <c r="AE78" s="168"/>
      <c r="AF78" s="168"/>
      <c r="AG78" s="168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</row>
    <row r="79" spans="1:115" s="9" customFormat="1" ht="11" thickBot="1" x14ac:dyDescent="0.3">
      <c r="A79" s="277" t="s">
        <v>25</v>
      </c>
      <c r="B79" s="278"/>
      <c r="C79" s="279"/>
      <c r="D79" s="289">
        <f t="shared" ref="D79:AA79" si="0">SUM(D6:D78)</f>
        <v>3363.39</v>
      </c>
      <c r="E79" s="290">
        <f t="shared" si="0"/>
        <v>3790.75</v>
      </c>
      <c r="F79" s="291">
        <f t="shared" si="0"/>
        <v>471.4</v>
      </c>
      <c r="G79" s="292">
        <f t="shared" si="0"/>
        <v>742.05</v>
      </c>
      <c r="H79" s="289">
        <f t="shared" si="0"/>
        <v>22</v>
      </c>
      <c r="I79" s="290">
        <f t="shared" si="0"/>
        <v>1696.09</v>
      </c>
      <c r="J79" s="290">
        <f t="shared" si="0"/>
        <v>0</v>
      </c>
      <c r="K79" s="290">
        <f t="shared" si="0"/>
        <v>1486.1</v>
      </c>
      <c r="L79" s="290">
        <f t="shared" si="0"/>
        <v>0</v>
      </c>
      <c r="M79" s="290">
        <f t="shared" si="0"/>
        <v>0</v>
      </c>
      <c r="N79" s="290">
        <f t="shared" si="0"/>
        <v>0</v>
      </c>
      <c r="O79" s="308">
        <f t="shared" si="0"/>
        <v>0</v>
      </c>
      <c r="P79" s="322">
        <f t="shared" si="0"/>
        <v>0</v>
      </c>
      <c r="Q79" s="323">
        <f t="shared" si="0"/>
        <v>107</v>
      </c>
      <c r="R79" s="323">
        <f t="shared" si="0"/>
        <v>0</v>
      </c>
      <c r="S79" s="323">
        <f t="shared" si="0"/>
        <v>4.45</v>
      </c>
      <c r="T79" s="323">
        <f t="shared" si="0"/>
        <v>2040.5</v>
      </c>
      <c r="U79" s="323">
        <f t="shared" si="0"/>
        <v>1464.66</v>
      </c>
      <c r="V79" s="323">
        <f t="shared" si="0"/>
        <v>262.79000000000002</v>
      </c>
      <c r="W79" s="323">
        <f t="shared" si="0"/>
        <v>10.44</v>
      </c>
      <c r="X79" s="323">
        <f t="shared" si="0"/>
        <v>0</v>
      </c>
      <c r="Y79" s="323">
        <f t="shared" si="0"/>
        <v>12.36</v>
      </c>
      <c r="Z79" s="323">
        <f t="shared" si="0"/>
        <v>0</v>
      </c>
      <c r="AA79" s="324">
        <f t="shared" si="0"/>
        <v>0</v>
      </c>
      <c r="AB79" s="37"/>
      <c r="AC79" s="37"/>
      <c r="AD79" s="37"/>
      <c r="AE79" s="37"/>
      <c r="AF79" s="37"/>
      <c r="AG79" s="37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s="38" customFormat="1" ht="11.5" thickTop="1" thickBot="1" x14ac:dyDescent="0.3">
      <c r="A80" s="326"/>
      <c r="B80" s="327"/>
      <c r="C80" s="328"/>
      <c r="D80" s="336"/>
      <c r="E80" s="337"/>
      <c r="F80" s="338"/>
      <c r="G80" s="339"/>
      <c r="H80" s="353"/>
      <c r="I80" s="338"/>
      <c r="J80" s="338"/>
      <c r="K80" s="354"/>
      <c r="L80" s="338"/>
      <c r="M80" s="338"/>
      <c r="N80" s="355"/>
      <c r="O80" s="339"/>
      <c r="P80" s="372"/>
      <c r="Q80" s="373"/>
      <c r="R80" s="373"/>
      <c r="S80" s="373"/>
      <c r="T80" s="374"/>
      <c r="U80" s="373"/>
      <c r="V80" s="373"/>
      <c r="W80" s="375"/>
      <c r="X80" s="376"/>
      <c r="Y80" s="376"/>
      <c r="Z80" s="376"/>
      <c r="AA80" s="377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</row>
    <row r="81" spans="1:27" s="6" customFormat="1" ht="53.5" thickTop="1" thickBot="1" x14ac:dyDescent="0.3">
      <c r="A81" s="329" t="s">
        <v>1</v>
      </c>
      <c r="B81" s="12" t="s">
        <v>2</v>
      </c>
      <c r="C81" s="330"/>
      <c r="D81" s="340" t="s">
        <v>3</v>
      </c>
      <c r="E81" s="233"/>
      <c r="F81" s="233" t="s">
        <v>4</v>
      </c>
      <c r="G81" s="341"/>
      <c r="H81" s="356" t="s">
        <v>5</v>
      </c>
      <c r="I81" s="13" t="s">
        <v>6</v>
      </c>
      <c r="J81" s="13" t="s">
        <v>7</v>
      </c>
      <c r="K81" s="14" t="s">
        <v>8</v>
      </c>
      <c r="L81" s="15" t="s">
        <v>9</v>
      </c>
      <c r="M81" s="14" t="s">
        <v>10</v>
      </c>
      <c r="N81" s="14" t="s">
        <v>11</v>
      </c>
      <c r="O81" s="357" t="s">
        <v>12</v>
      </c>
      <c r="P81" s="293" t="s">
        <v>13</v>
      </c>
      <c r="Q81" s="297" t="s">
        <v>98</v>
      </c>
      <c r="R81" s="309" t="s">
        <v>14</v>
      </c>
      <c r="S81" s="310" t="s">
        <v>15</v>
      </c>
      <c r="T81" s="311" t="s">
        <v>16</v>
      </c>
      <c r="U81" s="297" t="s">
        <v>17</v>
      </c>
      <c r="V81" s="297" t="s">
        <v>18</v>
      </c>
      <c r="W81" s="294" t="s">
        <v>63</v>
      </c>
      <c r="X81" s="312" t="s">
        <v>19</v>
      </c>
      <c r="Y81" s="297" t="s">
        <v>65</v>
      </c>
      <c r="Z81" s="297" t="s">
        <v>102</v>
      </c>
      <c r="AA81" s="298" t="s">
        <v>104</v>
      </c>
    </row>
    <row r="82" spans="1:27" s="6" customFormat="1" ht="11" thickBot="1" x14ac:dyDescent="0.3">
      <c r="A82" s="331"/>
      <c r="B82" s="16"/>
      <c r="C82" s="332"/>
      <c r="D82" s="342" t="s">
        <v>22</v>
      </c>
      <c r="E82" s="39" t="s">
        <v>23</v>
      </c>
      <c r="F82" s="16" t="s">
        <v>22</v>
      </c>
      <c r="G82" s="343" t="s">
        <v>23</v>
      </c>
      <c r="H82" s="331" t="s">
        <v>22</v>
      </c>
      <c r="I82" s="16" t="s">
        <v>22</v>
      </c>
      <c r="J82" s="16" t="s">
        <v>22</v>
      </c>
      <c r="K82" s="17" t="s">
        <v>22</v>
      </c>
      <c r="L82" s="18" t="s">
        <v>22</v>
      </c>
      <c r="M82" s="19" t="s">
        <v>22</v>
      </c>
      <c r="N82" s="20"/>
      <c r="O82" s="358" t="s">
        <v>22</v>
      </c>
      <c r="P82" s="331" t="s">
        <v>23</v>
      </c>
      <c r="Q82" s="16" t="s">
        <v>23</v>
      </c>
      <c r="R82" s="18" t="s">
        <v>23</v>
      </c>
      <c r="S82" s="18" t="s">
        <v>23</v>
      </c>
      <c r="T82" s="16" t="s">
        <v>23</v>
      </c>
      <c r="U82" s="16" t="s">
        <v>23</v>
      </c>
      <c r="V82" s="16" t="s">
        <v>23</v>
      </c>
      <c r="W82" s="19" t="s">
        <v>23</v>
      </c>
      <c r="X82" s="16" t="s">
        <v>23</v>
      </c>
      <c r="Y82" s="16" t="s">
        <v>23</v>
      </c>
      <c r="Z82" s="16" t="s">
        <v>23</v>
      </c>
      <c r="AA82" s="378" t="s">
        <v>23</v>
      </c>
    </row>
    <row r="83" spans="1:27" s="21" customFormat="1" ht="11" thickBot="1" x14ac:dyDescent="0.3">
      <c r="A83" s="333"/>
      <c r="B83" s="334"/>
      <c r="C83" s="335"/>
      <c r="D83" s="344">
        <f t="shared" ref="D83:AA83" si="1">SUM(D5:D78)</f>
        <v>15305.71000000001</v>
      </c>
      <c r="E83" s="345">
        <f t="shared" si="1"/>
        <v>3790.75</v>
      </c>
      <c r="F83" s="345">
        <f t="shared" si="1"/>
        <v>814.35</v>
      </c>
      <c r="G83" s="346">
        <f t="shared" si="1"/>
        <v>742.05</v>
      </c>
      <c r="H83" s="359">
        <f t="shared" si="1"/>
        <v>22</v>
      </c>
      <c r="I83" s="360">
        <f t="shared" si="1"/>
        <v>1696.09</v>
      </c>
      <c r="J83" s="360">
        <f t="shared" si="1"/>
        <v>0</v>
      </c>
      <c r="K83" s="360">
        <f t="shared" si="1"/>
        <v>1486.1</v>
      </c>
      <c r="L83" s="360">
        <f t="shared" si="1"/>
        <v>0</v>
      </c>
      <c r="M83" s="360">
        <f t="shared" si="1"/>
        <v>0</v>
      </c>
      <c r="N83" s="360">
        <f t="shared" si="1"/>
        <v>0</v>
      </c>
      <c r="O83" s="361">
        <f t="shared" si="1"/>
        <v>12285.27000000001</v>
      </c>
      <c r="P83" s="359">
        <f t="shared" si="1"/>
        <v>0</v>
      </c>
      <c r="Q83" s="360">
        <f t="shared" si="1"/>
        <v>107</v>
      </c>
      <c r="R83" s="360">
        <f t="shared" si="1"/>
        <v>0</v>
      </c>
      <c r="S83" s="360">
        <f t="shared" si="1"/>
        <v>4.45</v>
      </c>
      <c r="T83" s="360">
        <f t="shared" si="1"/>
        <v>2040.5</v>
      </c>
      <c r="U83" s="360">
        <f t="shared" si="1"/>
        <v>1464.66</v>
      </c>
      <c r="V83" s="360">
        <f t="shared" si="1"/>
        <v>262.79000000000002</v>
      </c>
      <c r="W83" s="360">
        <f t="shared" si="1"/>
        <v>10.44</v>
      </c>
      <c r="X83" s="360">
        <f t="shared" si="1"/>
        <v>0</v>
      </c>
      <c r="Y83" s="360">
        <f t="shared" si="1"/>
        <v>12.36</v>
      </c>
      <c r="Z83" s="360">
        <f t="shared" si="1"/>
        <v>0</v>
      </c>
      <c r="AA83" s="361">
        <f t="shared" si="1"/>
        <v>0</v>
      </c>
    </row>
    <row r="84" spans="1:27" s="6" customFormat="1" ht="11.5" thickTop="1" thickBot="1" x14ac:dyDescent="0.3">
      <c r="A84" s="347"/>
      <c r="B84" s="348" t="s">
        <v>26</v>
      </c>
      <c r="C84" s="349"/>
      <c r="D84" s="350">
        <f>SUM(D83-E83)</f>
        <v>11514.96000000001</v>
      </c>
      <c r="E84" s="351"/>
      <c r="F84" s="350">
        <f>SUM(F83-G83)</f>
        <v>72.300000000000068</v>
      </c>
      <c r="G84" s="352"/>
      <c r="H84" s="363"/>
      <c r="I84" s="379"/>
      <c r="J84" s="379" t="s">
        <v>20</v>
      </c>
      <c r="K84" s="365"/>
      <c r="L84" s="364"/>
      <c r="M84" s="364" t="s">
        <v>20</v>
      </c>
      <c r="N84" s="366"/>
      <c r="O84" s="367" t="s">
        <v>20</v>
      </c>
      <c r="P84" s="363"/>
      <c r="Q84" s="364"/>
      <c r="R84" s="364" t="s">
        <v>20</v>
      </c>
      <c r="S84" s="364" t="s">
        <v>20</v>
      </c>
      <c r="T84" s="364" t="s">
        <v>20</v>
      </c>
      <c r="U84" s="371"/>
      <c r="V84" s="364" t="s">
        <v>20</v>
      </c>
      <c r="W84" s="371"/>
      <c r="X84" s="364" t="s">
        <v>20</v>
      </c>
      <c r="Y84" s="364" t="s">
        <v>20</v>
      </c>
      <c r="Z84" s="364" t="s">
        <v>20</v>
      </c>
      <c r="AA84" s="352" t="s">
        <v>20</v>
      </c>
    </row>
    <row r="85" spans="1:27" s="6" customFormat="1" ht="13.5" thickTop="1" thickBot="1" x14ac:dyDescent="0.3">
      <c r="A85" s="2"/>
      <c r="B85" s="2"/>
      <c r="C85" s="55"/>
      <c r="D85" s="35"/>
      <c r="E85" s="34"/>
      <c r="F85" s="4"/>
      <c r="I85" s="546" t="s">
        <v>27</v>
      </c>
      <c r="J85" s="547"/>
      <c r="K85" s="362">
        <f>SUM(H83:O83)</f>
        <v>15489.46000000001</v>
      </c>
      <c r="O85" s="22"/>
      <c r="P85" s="4"/>
      <c r="Q85" s="6" t="s">
        <v>28</v>
      </c>
      <c r="R85" s="368" t="s">
        <v>20</v>
      </c>
      <c r="S85" s="369">
        <f>SUM(P83:AA83)</f>
        <v>3902.2</v>
      </c>
      <c r="T85" s="370"/>
    </row>
    <row r="86" spans="1:27" s="6" customFormat="1" ht="11" thickBot="1" x14ac:dyDescent="0.3">
      <c r="A86" s="2"/>
      <c r="B86" s="23" t="s">
        <v>29</v>
      </c>
      <c r="C86" s="23"/>
      <c r="D86" s="40" t="s">
        <v>20</v>
      </c>
      <c r="E86" s="193">
        <f>SUM(D83-E83+F83-G83)</f>
        <v>11587.260000000011</v>
      </c>
      <c r="F86" s="25" t="s">
        <v>49</v>
      </c>
      <c r="H86" s="26"/>
      <c r="I86" s="46"/>
      <c r="J86" s="46"/>
      <c r="K86" s="27"/>
      <c r="M86" s="7"/>
      <c r="N86" s="46"/>
      <c r="O86" s="24">
        <f>E83</f>
        <v>3790.75</v>
      </c>
      <c r="P86" s="540">
        <f>SUM(K85-S85)</f>
        <v>11587.260000000009</v>
      </c>
      <c r="Q86" s="540"/>
      <c r="R86" s="541" t="s">
        <v>30</v>
      </c>
      <c r="S86" s="541"/>
      <c r="T86" s="541"/>
    </row>
    <row r="87" spans="1:27" s="6" customFormat="1" ht="10.5" x14ac:dyDescent="0.25">
      <c r="A87" s="1"/>
      <c r="B87" s="2"/>
      <c r="C87" s="55"/>
      <c r="D87" s="28"/>
      <c r="E87" s="34"/>
      <c r="F87" s="4"/>
      <c r="G87" s="3"/>
      <c r="H87" s="3"/>
      <c r="I87" s="3"/>
      <c r="J87" s="3"/>
      <c r="K87" s="5"/>
      <c r="L87" s="3"/>
      <c r="M87" s="3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6" customFormat="1" x14ac:dyDescent="0.25">
      <c r="A88" s="1"/>
      <c r="B88" s="2"/>
      <c r="C88" s="2"/>
      <c r="D88" s="542" t="s">
        <v>52</v>
      </c>
      <c r="E88" s="543"/>
      <c r="F88" s="194">
        <v>50</v>
      </c>
      <c r="G88" s="197">
        <f>11514.96</f>
        <v>11514.96</v>
      </c>
      <c r="H88" s="52" t="s">
        <v>54</v>
      </c>
      <c r="I88" s="57"/>
      <c r="J88" s="3"/>
      <c r="K88" s="5"/>
      <c r="L88" s="3"/>
      <c r="M88" s="3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6" customFormat="1" x14ac:dyDescent="0.25">
      <c r="A89" s="1"/>
      <c r="B89" s="2"/>
      <c r="C89" s="2"/>
      <c r="D89" s="544" t="s">
        <v>34</v>
      </c>
      <c r="E89" s="545"/>
      <c r="F89" s="195">
        <v>22.3</v>
      </c>
      <c r="G89" s="197">
        <f>D84</f>
        <v>11514.96000000001</v>
      </c>
      <c r="H89" s="52" t="s">
        <v>60</v>
      </c>
      <c r="I89" s="57"/>
      <c r="J89" s="3"/>
      <c r="K89" s="5"/>
      <c r="L89" s="381"/>
      <c r="M89" s="3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s="6" customFormat="1" x14ac:dyDescent="0.25">
      <c r="A90" s="1"/>
      <c r="B90" s="2"/>
      <c r="C90" s="2"/>
      <c r="D90" s="544" t="s">
        <v>85</v>
      </c>
      <c r="E90" s="545"/>
      <c r="F90" s="194">
        <f>0</f>
        <v>0</v>
      </c>
      <c r="G90" s="198">
        <f>G88-G89</f>
        <v>0</v>
      </c>
      <c r="H90" s="53" t="s">
        <v>50</v>
      </c>
      <c r="I90" s="3"/>
      <c r="J90" s="3"/>
      <c r="K90" s="5"/>
      <c r="L90" s="3"/>
      <c r="M90" s="3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s="6" customFormat="1" x14ac:dyDescent="0.25">
      <c r="A91" s="1"/>
      <c r="B91" s="2"/>
      <c r="C91" s="2"/>
      <c r="D91" s="533" t="s">
        <v>50</v>
      </c>
      <c r="E91" s="534"/>
      <c r="F91" s="196">
        <f>F88+F89+F90-F84</f>
        <v>0</v>
      </c>
      <c r="G91" s="84"/>
      <c r="H91" s="85"/>
      <c r="I91" s="3"/>
      <c r="J91" s="3"/>
      <c r="K91" s="5"/>
      <c r="L91" s="3"/>
      <c r="M91" s="3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</sheetData>
  <sheetProtection selectLockedCells="1" selectUnlockedCells="1"/>
  <mergeCells count="10">
    <mergeCell ref="R86:T86"/>
    <mergeCell ref="D88:E88"/>
    <mergeCell ref="D89:E89"/>
    <mergeCell ref="D90:E90"/>
    <mergeCell ref="I85:J85"/>
    <mergeCell ref="A1:B1"/>
    <mergeCell ref="D3:E3"/>
    <mergeCell ref="F3:G3"/>
    <mergeCell ref="D91:E91"/>
    <mergeCell ref="P86:Q86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I1124"/>
  <sheetViews>
    <sheetView showGridLines="0" workbookViewId="0">
      <selection activeCell="A22" sqref="A22:XFD24"/>
    </sheetView>
  </sheetViews>
  <sheetFormatPr baseColWidth="10" defaultColWidth="10.81640625" defaultRowHeight="10.5" x14ac:dyDescent="0.25"/>
  <cols>
    <col min="1" max="1" width="10.81640625" style="58"/>
    <col min="2" max="2" width="29.632812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10">
        <v>44779</v>
      </c>
      <c r="B2" s="56" t="s">
        <v>537</v>
      </c>
      <c r="C2" s="205"/>
      <c r="D2" s="204">
        <v>38</v>
      </c>
      <c r="E2" s="204"/>
      <c r="F2" s="204">
        <f t="shared" ref="F2:F17" si="0">SUM(C2:E2)</f>
        <v>38</v>
      </c>
      <c r="G2" s="211" t="s">
        <v>145</v>
      </c>
    </row>
    <row r="3" spans="1:35" ht="13" x14ac:dyDescent="0.3">
      <c r="A3" s="210">
        <v>44779</v>
      </c>
      <c r="B3" s="56" t="s">
        <v>538</v>
      </c>
      <c r="C3" s="205"/>
      <c r="D3" s="204">
        <v>12</v>
      </c>
      <c r="E3" s="204"/>
      <c r="F3" s="204">
        <f>SUM(C3:E3)</f>
        <v>12</v>
      </c>
      <c r="G3" s="211" t="s">
        <v>145</v>
      </c>
    </row>
    <row r="4" spans="1:35" ht="13" x14ac:dyDescent="0.3">
      <c r="A4" s="210">
        <v>44779</v>
      </c>
      <c r="B4" s="56" t="s">
        <v>539</v>
      </c>
      <c r="C4" s="205"/>
      <c r="D4" s="204"/>
      <c r="E4" s="204">
        <v>64</v>
      </c>
      <c r="F4" s="202">
        <f t="shared" si="0"/>
        <v>64</v>
      </c>
      <c r="G4" s="211" t="s">
        <v>145</v>
      </c>
    </row>
    <row r="5" spans="1:35" ht="13" x14ac:dyDescent="0.3">
      <c r="A5" s="210">
        <v>44779</v>
      </c>
      <c r="B5" s="56" t="s">
        <v>540</v>
      </c>
      <c r="C5" s="205"/>
      <c r="D5" s="204"/>
      <c r="E5" s="204">
        <v>62</v>
      </c>
      <c r="F5" s="202">
        <f t="shared" si="0"/>
        <v>62</v>
      </c>
      <c r="G5" s="211" t="s">
        <v>145</v>
      </c>
    </row>
    <row r="6" spans="1:35" ht="13" x14ac:dyDescent="0.3">
      <c r="A6" s="210">
        <v>44779</v>
      </c>
      <c r="B6" s="56" t="s">
        <v>536</v>
      </c>
      <c r="C6" s="205"/>
      <c r="D6" s="204"/>
      <c r="E6" s="204">
        <v>2</v>
      </c>
      <c r="F6" s="202">
        <f t="shared" si="0"/>
        <v>2</v>
      </c>
      <c r="G6" s="211" t="s">
        <v>145</v>
      </c>
    </row>
    <row r="7" spans="1:35" ht="13" x14ac:dyDescent="0.3">
      <c r="A7" s="210">
        <v>44779</v>
      </c>
      <c r="B7" s="56" t="s">
        <v>536</v>
      </c>
      <c r="C7" s="205"/>
      <c r="D7" s="204">
        <v>5</v>
      </c>
      <c r="E7" s="204"/>
      <c r="F7" s="202">
        <f t="shared" si="0"/>
        <v>5</v>
      </c>
      <c r="G7" s="211" t="s">
        <v>145</v>
      </c>
    </row>
    <row r="8" spans="1:35" ht="13" x14ac:dyDescent="0.3">
      <c r="A8" s="210">
        <v>44779</v>
      </c>
      <c r="B8" s="56" t="s">
        <v>541</v>
      </c>
      <c r="C8" s="205"/>
      <c r="D8" s="204"/>
      <c r="E8" s="204">
        <v>57.5</v>
      </c>
      <c r="F8" s="202">
        <f t="shared" si="0"/>
        <v>57.5</v>
      </c>
      <c r="G8" s="211" t="s">
        <v>145</v>
      </c>
    </row>
    <row r="9" spans="1:35" ht="13" x14ac:dyDescent="0.3">
      <c r="A9" s="210">
        <v>44792</v>
      </c>
      <c r="B9" s="56" t="s">
        <v>544</v>
      </c>
      <c r="C9" s="205"/>
      <c r="D9" s="204"/>
      <c r="E9" s="205">
        <v>17.5</v>
      </c>
      <c r="F9" s="202">
        <f t="shared" si="0"/>
        <v>17.5</v>
      </c>
      <c r="G9" s="211" t="s">
        <v>145</v>
      </c>
    </row>
    <row r="10" spans="1:35" s="162" customFormat="1" ht="13" x14ac:dyDescent="0.3">
      <c r="A10" s="210">
        <v>44792</v>
      </c>
      <c r="B10" s="56" t="s">
        <v>545</v>
      </c>
      <c r="C10" s="205"/>
      <c r="D10" s="200"/>
      <c r="E10" s="204">
        <v>66</v>
      </c>
      <c r="F10" s="202">
        <f t="shared" si="0"/>
        <v>66</v>
      </c>
      <c r="G10" s="211" t="s">
        <v>145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" customFormat="1" ht="13" x14ac:dyDescent="0.3">
      <c r="A11" s="210">
        <v>44792</v>
      </c>
      <c r="B11" s="56" t="s">
        <v>546</v>
      </c>
      <c r="C11" s="205"/>
      <c r="D11" s="200">
        <v>32</v>
      </c>
      <c r="E11" s="204"/>
      <c r="F11" s="202">
        <f t="shared" si="0"/>
        <v>32</v>
      </c>
      <c r="G11" s="211" t="s">
        <v>145</v>
      </c>
    </row>
    <row r="12" spans="1:35" s="3" customFormat="1" ht="13" x14ac:dyDescent="0.3">
      <c r="A12" s="210">
        <v>44792</v>
      </c>
      <c r="B12" s="56" t="s">
        <v>547</v>
      </c>
      <c r="C12" s="205"/>
      <c r="D12" s="200"/>
      <c r="E12" s="204">
        <v>61</v>
      </c>
      <c r="F12" s="202">
        <f t="shared" si="0"/>
        <v>61</v>
      </c>
      <c r="G12" s="211" t="s">
        <v>145</v>
      </c>
    </row>
    <row r="13" spans="1:35" s="3" customFormat="1" ht="13" x14ac:dyDescent="0.3">
      <c r="A13" s="210">
        <v>44792</v>
      </c>
      <c r="B13" s="3" t="s">
        <v>548</v>
      </c>
      <c r="C13" s="205"/>
      <c r="D13" s="200"/>
      <c r="E13" s="204">
        <v>18</v>
      </c>
      <c r="F13" s="202">
        <f t="shared" si="0"/>
        <v>18</v>
      </c>
      <c r="G13" s="211" t="s">
        <v>145</v>
      </c>
    </row>
    <row r="14" spans="1:35" s="3" customFormat="1" ht="13" x14ac:dyDescent="0.3">
      <c r="A14" s="210">
        <v>44792</v>
      </c>
      <c r="B14" s="56" t="s">
        <v>549</v>
      </c>
      <c r="C14" s="205"/>
      <c r="D14" s="200">
        <v>77.5</v>
      </c>
      <c r="E14" s="204"/>
      <c r="F14" s="202">
        <f t="shared" si="0"/>
        <v>77.5</v>
      </c>
      <c r="G14" s="211" t="s">
        <v>145</v>
      </c>
    </row>
    <row r="15" spans="1:35" s="3" customFormat="1" ht="13" x14ac:dyDescent="0.3">
      <c r="A15" s="210">
        <v>44792</v>
      </c>
      <c r="B15" s="56" t="s">
        <v>549</v>
      </c>
      <c r="C15" s="205"/>
      <c r="D15" s="200"/>
      <c r="E15" s="204">
        <v>10</v>
      </c>
      <c r="F15" s="202">
        <f t="shared" ref="F15" si="1">SUM(C15:E15)</f>
        <v>10</v>
      </c>
      <c r="G15" s="211" t="s">
        <v>145</v>
      </c>
    </row>
    <row r="16" spans="1:35" s="3" customFormat="1" ht="13" x14ac:dyDescent="0.3">
      <c r="A16" s="210">
        <v>44792</v>
      </c>
      <c r="B16" s="56" t="s">
        <v>550</v>
      </c>
      <c r="C16" s="56"/>
      <c r="D16" s="200"/>
      <c r="E16" s="204">
        <v>77</v>
      </c>
      <c r="F16" s="202">
        <f>SUM(C16:E16)</f>
        <v>77</v>
      </c>
      <c r="G16" s="211" t="s">
        <v>145</v>
      </c>
    </row>
    <row r="17" spans="1:7" s="3" customFormat="1" ht="13" x14ac:dyDescent="0.3">
      <c r="A17" s="210">
        <v>44792</v>
      </c>
      <c r="B17" s="56" t="s">
        <v>551</v>
      </c>
      <c r="C17" s="205"/>
      <c r="D17" s="200">
        <v>84</v>
      </c>
      <c r="E17" s="204"/>
      <c r="F17" s="202">
        <f t="shared" si="0"/>
        <v>84</v>
      </c>
      <c r="G17" s="211" t="s">
        <v>145</v>
      </c>
    </row>
    <row r="18" spans="1:7" s="3" customFormat="1" ht="13" x14ac:dyDescent="0.3">
      <c r="A18" s="210">
        <v>44804</v>
      </c>
      <c r="B18" s="56" t="s">
        <v>560</v>
      </c>
      <c r="C18" s="205"/>
      <c r="D18" s="200"/>
      <c r="E18" s="204">
        <v>418.5</v>
      </c>
      <c r="F18" s="202">
        <f t="shared" ref="F18:F21" si="2">SUM(C18:E18)</f>
        <v>418.5</v>
      </c>
      <c r="G18" s="211" t="s">
        <v>145</v>
      </c>
    </row>
    <row r="19" spans="1:7" s="3" customFormat="1" ht="13" x14ac:dyDescent="0.3">
      <c r="A19" s="210">
        <v>44804</v>
      </c>
      <c r="B19" s="56" t="s">
        <v>562</v>
      </c>
      <c r="C19" s="205"/>
      <c r="D19" s="200"/>
      <c r="E19" s="204">
        <v>20</v>
      </c>
      <c r="F19" s="202">
        <f t="shared" si="2"/>
        <v>20</v>
      </c>
      <c r="G19" s="211" t="s">
        <v>145</v>
      </c>
    </row>
    <row r="20" spans="1:7" s="3" customFormat="1" ht="13" x14ac:dyDescent="0.3">
      <c r="A20" s="210">
        <v>44804</v>
      </c>
      <c r="B20" s="56" t="s">
        <v>563</v>
      </c>
      <c r="C20" s="205"/>
      <c r="D20" s="200"/>
      <c r="E20" s="204">
        <v>5</v>
      </c>
      <c r="F20" s="202">
        <f t="shared" si="2"/>
        <v>5</v>
      </c>
      <c r="G20" s="211" t="s">
        <v>145</v>
      </c>
    </row>
    <row r="21" spans="1:7" s="3" customFormat="1" ht="13" x14ac:dyDescent="0.3">
      <c r="A21" s="210">
        <v>44804</v>
      </c>
      <c r="B21" s="56" t="s">
        <v>561</v>
      </c>
      <c r="C21" s="205"/>
      <c r="D21" s="200"/>
      <c r="E21" s="204">
        <v>6</v>
      </c>
      <c r="F21" s="202">
        <f t="shared" si="2"/>
        <v>6</v>
      </c>
      <c r="G21" s="211" t="s">
        <v>145</v>
      </c>
    </row>
    <row r="22" spans="1:7" s="3" customFormat="1" ht="13" thickBot="1" x14ac:dyDescent="0.3">
      <c r="A22" s="212"/>
      <c r="B22" s="213" t="s">
        <v>0</v>
      </c>
      <c r="C22" s="214">
        <f>SUM(C2:C21)</f>
        <v>0</v>
      </c>
      <c r="D22" s="214">
        <f>SUM(D2:D21)</f>
        <v>248.5</v>
      </c>
      <c r="E22" s="214">
        <f>SUM(E2:E21)</f>
        <v>884.5</v>
      </c>
      <c r="F22" s="215">
        <f>SUM(C22:E22)</f>
        <v>1133</v>
      </c>
      <c r="G22" s="216"/>
    </row>
    <row r="23" spans="1:7" s="3" customFormat="1" ht="11" thickTop="1" x14ac:dyDescent="0.25">
      <c r="D23" s="1"/>
      <c r="E23" s="1"/>
    </row>
    <row r="24" spans="1:7" s="3" customFormat="1" x14ac:dyDescent="0.25">
      <c r="D24" s="1"/>
      <c r="E24" s="1"/>
    </row>
    <row r="25" spans="1:7" s="3" customFormat="1" x14ac:dyDescent="0.25">
      <c r="D25" s="1"/>
      <c r="E25" s="1"/>
    </row>
    <row r="26" spans="1:7" s="3" customFormat="1" x14ac:dyDescent="0.25">
      <c r="D26" s="1"/>
      <c r="E26" s="1"/>
    </row>
    <row r="27" spans="1:7" s="3" customFormat="1" x14ac:dyDescent="0.25">
      <c r="D27" s="1"/>
      <c r="E27" s="1"/>
    </row>
    <row r="28" spans="1:7" s="3" customFormat="1" x14ac:dyDescent="0.25">
      <c r="D28" s="1"/>
      <c r="E28" s="1"/>
    </row>
    <row r="29" spans="1:7" s="3" customFormat="1" x14ac:dyDescent="0.25">
      <c r="D29" s="1"/>
      <c r="E29" s="1"/>
    </row>
    <row r="30" spans="1:7" s="3" customFormat="1" x14ac:dyDescent="0.25">
      <c r="D30" s="1"/>
      <c r="E30" s="1"/>
    </row>
    <row r="31" spans="1:7" s="3" customFormat="1" x14ac:dyDescent="0.25">
      <c r="D31" s="1"/>
      <c r="E31" s="1"/>
    </row>
    <row r="32" spans="1:7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1125"/>
  <sheetViews>
    <sheetView showGridLines="0" workbookViewId="0">
      <selection activeCell="A15" sqref="A15:XFD17"/>
    </sheetView>
  </sheetViews>
  <sheetFormatPr baseColWidth="10" defaultColWidth="10.81640625" defaultRowHeight="10.5" x14ac:dyDescent="0.25"/>
  <cols>
    <col min="1" max="1" width="10.81640625" style="58"/>
    <col min="2" max="2" width="30.8164062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" thickTop="1" x14ac:dyDescent="0.25">
      <c r="A1" s="206" t="s">
        <v>55</v>
      </c>
      <c r="B1" s="208"/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2.5" x14ac:dyDescent="0.25">
      <c r="A2" s="210">
        <v>44777</v>
      </c>
      <c r="B2" s="56" t="s">
        <v>535</v>
      </c>
      <c r="C2" s="199">
        <v>64</v>
      </c>
      <c r="D2" s="200"/>
      <c r="E2" s="201"/>
      <c r="F2" s="202">
        <f t="shared" ref="F2:F11" si="0">SUM(C2:E2)</f>
        <v>64</v>
      </c>
      <c r="G2" s="217" t="s">
        <v>145</v>
      </c>
    </row>
    <row r="3" spans="1:35" ht="12.5" x14ac:dyDescent="0.25">
      <c r="A3" s="210">
        <v>44782</v>
      </c>
      <c r="B3" s="56" t="s">
        <v>475</v>
      </c>
      <c r="C3" s="199">
        <v>23</v>
      </c>
      <c r="D3" s="200"/>
      <c r="E3" s="203"/>
      <c r="F3" s="202">
        <f t="shared" si="0"/>
        <v>23</v>
      </c>
      <c r="G3" s="217" t="s">
        <v>145</v>
      </c>
    </row>
    <row r="4" spans="1:35" ht="12.5" x14ac:dyDescent="0.25">
      <c r="A4" s="210">
        <v>44782</v>
      </c>
      <c r="B4" s="56" t="s">
        <v>306</v>
      </c>
      <c r="C4" s="199">
        <v>98.14</v>
      </c>
      <c r="D4" s="200"/>
      <c r="E4" s="203"/>
      <c r="F4" s="204">
        <f t="shared" si="0"/>
        <v>98.14</v>
      </c>
      <c r="G4" s="217" t="s">
        <v>145</v>
      </c>
    </row>
    <row r="5" spans="1:35" ht="12.5" x14ac:dyDescent="0.25">
      <c r="A5" s="210">
        <v>44785</v>
      </c>
      <c r="B5" s="56" t="s">
        <v>306</v>
      </c>
      <c r="C5" s="199">
        <v>60</v>
      </c>
      <c r="D5" s="200"/>
      <c r="E5" s="203"/>
      <c r="F5" s="204">
        <f t="shared" si="0"/>
        <v>60</v>
      </c>
      <c r="G5" s="217" t="s">
        <v>145</v>
      </c>
    </row>
    <row r="6" spans="1:35" ht="12.5" x14ac:dyDescent="0.25">
      <c r="A6" s="210">
        <v>44788</v>
      </c>
      <c r="B6" s="56" t="s">
        <v>283</v>
      </c>
      <c r="C6" s="199">
        <v>96</v>
      </c>
      <c r="D6" s="200"/>
      <c r="E6" s="203"/>
      <c r="F6" s="204">
        <f t="shared" si="0"/>
        <v>96</v>
      </c>
      <c r="G6" s="217" t="s">
        <v>145</v>
      </c>
    </row>
    <row r="7" spans="1:35" ht="12.5" x14ac:dyDescent="0.25">
      <c r="A7" s="210">
        <v>44794</v>
      </c>
      <c r="B7" s="56" t="s">
        <v>554</v>
      </c>
      <c r="C7" s="199">
        <v>500</v>
      </c>
      <c r="D7" s="200"/>
      <c r="E7" s="203"/>
      <c r="F7" s="204">
        <f t="shared" si="0"/>
        <v>500</v>
      </c>
      <c r="G7" s="217" t="s">
        <v>145</v>
      </c>
    </row>
    <row r="8" spans="1:35" ht="12.5" x14ac:dyDescent="0.25">
      <c r="A8" s="210">
        <v>44796</v>
      </c>
      <c r="B8" s="56" t="s">
        <v>555</v>
      </c>
      <c r="C8" s="199">
        <v>30</v>
      </c>
      <c r="D8" s="200"/>
      <c r="E8" s="203"/>
      <c r="F8" s="204">
        <f t="shared" si="0"/>
        <v>30</v>
      </c>
      <c r="G8" s="217" t="s">
        <v>145</v>
      </c>
    </row>
    <row r="9" spans="1:35" ht="12.5" x14ac:dyDescent="0.25">
      <c r="A9" s="210">
        <v>44797</v>
      </c>
      <c r="B9" s="56" t="s">
        <v>394</v>
      </c>
      <c r="C9" s="199">
        <v>100</v>
      </c>
      <c r="D9" s="200"/>
      <c r="E9" s="203"/>
      <c r="F9" s="204">
        <f t="shared" si="0"/>
        <v>100</v>
      </c>
      <c r="G9" s="217" t="s">
        <v>145</v>
      </c>
    </row>
    <row r="10" spans="1:35" ht="12.5" x14ac:dyDescent="0.25">
      <c r="A10" s="210">
        <v>44798</v>
      </c>
      <c r="B10" s="56" t="s">
        <v>555</v>
      </c>
      <c r="C10" s="199">
        <v>158</v>
      </c>
      <c r="D10" s="200"/>
      <c r="E10" s="203"/>
      <c r="F10" s="204">
        <f t="shared" si="0"/>
        <v>158</v>
      </c>
      <c r="G10" s="217" t="s">
        <v>145</v>
      </c>
    </row>
    <row r="11" spans="1:35" ht="12.5" x14ac:dyDescent="0.25">
      <c r="A11" s="210">
        <v>44802</v>
      </c>
      <c r="B11" s="56" t="s">
        <v>520</v>
      </c>
      <c r="C11" s="199">
        <v>30</v>
      </c>
      <c r="D11" s="200"/>
      <c r="E11" s="203"/>
      <c r="F11" s="204">
        <f t="shared" si="0"/>
        <v>30</v>
      </c>
      <c r="G11" s="217" t="s">
        <v>145</v>
      </c>
    </row>
    <row r="12" spans="1:35" ht="12.5" x14ac:dyDescent="0.25">
      <c r="A12" s="210">
        <v>44803</v>
      </c>
      <c r="B12" s="56" t="s">
        <v>436</v>
      </c>
      <c r="C12" s="199">
        <v>150.51</v>
      </c>
      <c r="D12" s="200"/>
      <c r="E12" s="203"/>
      <c r="F12" s="204">
        <f t="shared" ref="F12:F14" si="1">SUM(C12:E12)</f>
        <v>150.51</v>
      </c>
      <c r="G12" s="217" t="s">
        <v>145</v>
      </c>
    </row>
    <row r="13" spans="1:35" ht="12.5" x14ac:dyDescent="0.25">
      <c r="A13" s="210">
        <v>44804</v>
      </c>
      <c r="B13" s="56" t="s">
        <v>558</v>
      </c>
      <c r="C13" s="199"/>
      <c r="D13" s="200">
        <v>270</v>
      </c>
      <c r="E13" s="203"/>
      <c r="F13" s="204">
        <f t="shared" si="1"/>
        <v>270</v>
      </c>
      <c r="G13" s="217" t="s">
        <v>145</v>
      </c>
    </row>
    <row r="14" spans="1:35" ht="12.5" x14ac:dyDescent="0.25">
      <c r="A14" s="210">
        <v>44804</v>
      </c>
      <c r="B14" s="56" t="s">
        <v>430</v>
      </c>
      <c r="C14" s="199"/>
      <c r="D14" s="200">
        <v>30</v>
      </c>
      <c r="E14" s="203"/>
      <c r="F14" s="204">
        <f t="shared" si="1"/>
        <v>30</v>
      </c>
      <c r="G14" s="217" t="s">
        <v>145</v>
      </c>
    </row>
    <row r="15" spans="1:35" s="162" customFormat="1" ht="13" thickBot="1" x14ac:dyDescent="0.3">
      <c r="A15" s="212"/>
      <c r="B15" s="213" t="s">
        <v>0</v>
      </c>
      <c r="C15" s="214">
        <f>SUM(C2:C14)</f>
        <v>1309.6499999999999</v>
      </c>
      <c r="D15" s="214">
        <f>SUM(D2:D14)</f>
        <v>300</v>
      </c>
      <c r="E15" s="214">
        <f>SUM(E2:E14)</f>
        <v>0</v>
      </c>
      <c r="F15" s="215">
        <f>SUM(F2:F14)</f>
        <v>1609.6499999999999</v>
      </c>
      <c r="G15" s="2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3" customFormat="1" ht="11" thickTop="1" x14ac:dyDescent="0.25">
      <c r="D16" s="1"/>
      <c r="E16" s="1"/>
    </row>
    <row r="17" spans="4:5" s="3" customFormat="1" x14ac:dyDescent="0.25">
      <c r="D17" s="1"/>
      <c r="E17" s="1"/>
    </row>
    <row r="18" spans="4:5" s="3" customFormat="1" x14ac:dyDescent="0.25">
      <c r="D18" s="1"/>
      <c r="E18" s="1"/>
    </row>
    <row r="19" spans="4:5" s="3" customFormat="1" x14ac:dyDescent="0.25">
      <c r="D19" s="1"/>
      <c r="E19" s="1"/>
    </row>
    <row r="20" spans="4:5" s="3" customFormat="1" x14ac:dyDescent="0.25">
      <c r="D20" s="1"/>
      <c r="E20" s="1"/>
    </row>
    <row r="21" spans="4:5" s="3" customFormat="1" x14ac:dyDescent="0.25">
      <c r="D21" s="1"/>
      <c r="E21" s="1"/>
    </row>
    <row r="22" spans="4:5" s="3" customFormat="1" x14ac:dyDescent="0.25">
      <c r="D22" s="1"/>
      <c r="E22" s="1"/>
    </row>
    <row r="23" spans="4:5" s="3" customFormat="1" x14ac:dyDescent="0.25">
      <c r="D23" s="1"/>
      <c r="E23" s="1"/>
    </row>
    <row r="24" spans="4:5" s="3" customFormat="1" x14ac:dyDescent="0.25">
      <c r="D24" s="1"/>
      <c r="E24" s="1"/>
    </row>
    <row r="25" spans="4:5" s="3" customFormat="1" x14ac:dyDescent="0.25">
      <c r="D25" s="1"/>
      <c r="E25" s="1"/>
    </row>
    <row r="26" spans="4:5" s="3" customFormat="1" x14ac:dyDescent="0.25">
      <c r="D26" s="1"/>
      <c r="E26" s="1"/>
    </row>
    <row r="27" spans="4:5" s="3" customFormat="1" x14ac:dyDescent="0.25">
      <c r="D27" s="1"/>
      <c r="E27" s="1"/>
    </row>
    <row r="28" spans="4:5" s="3" customFormat="1" x14ac:dyDescent="0.25">
      <c r="D28" s="1"/>
      <c r="E28" s="1"/>
    </row>
    <row r="29" spans="4:5" s="3" customFormat="1" x14ac:dyDescent="0.25">
      <c r="D29" s="1"/>
      <c r="E29" s="1"/>
    </row>
    <row r="30" spans="4:5" s="3" customFormat="1" x14ac:dyDescent="0.25">
      <c r="D30" s="1"/>
      <c r="E30" s="1"/>
    </row>
    <row r="31" spans="4:5" s="3" customFormat="1" x14ac:dyDescent="0.25">
      <c r="D31" s="1"/>
      <c r="E31" s="1"/>
    </row>
    <row r="32" spans="4: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</sheetData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K63"/>
  <sheetViews>
    <sheetView showGridLines="0" topLeftCell="A22" zoomScale="84" zoomScaleNormal="84" workbookViewId="0">
      <selection activeCell="A51" sqref="A51:XFD54"/>
    </sheetView>
  </sheetViews>
  <sheetFormatPr baseColWidth="10" defaultRowHeight="12.5" x14ac:dyDescent="0.25"/>
  <cols>
    <col min="1" max="1" width="9.81640625" customWidth="1"/>
    <col min="2" max="2" width="34.9062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130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f>'07 2022'!D84</f>
        <v>11514.96000000001</v>
      </c>
      <c r="E5" s="179"/>
      <c r="F5" s="180">
        <f>'07 2022'!F84</f>
        <v>72.300000000000068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11587.260000000009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527" customFormat="1" ht="12" customHeight="1" x14ac:dyDescent="0.25">
      <c r="A6" s="275">
        <v>44775</v>
      </c>
      <c r="B6" s="528" t="s">
        <v>138</v>
      </c>
      <c r="C6" s="276" t="s">
        <v>145</v>
      </c>
      <c r="D6" s="287"/>
      <c r="E6" s="220">
        <v>10.44</v>
      </c>
      <c r="F6" s="221"/>
      <c r="G6" s="288"/>
      <c r="H6" s="306"/>
      <c r="I6" s="183"/>
      <c r="J6" s="183"/>
      <c r="K6" s="184"/>
      <c r="L6" s="183"/>
      <c r="M6" s="183"/>
      <c r="N6" s="183"/>
      <c r="O6" s="470"/>
      <c r="P6" s="320"/>
      <c r="Q6" s="189"/>
      <c r="R6" s="189"/>
      <c r="S6" s="189"/>
      <c r="T6" s="189"/>
      <c r="U6" s="471"/>
      <c r="V6" s="189"/>
      <c r="W6" s="190">
        <v>10.44</v>
      </c>
      <c r="X6" s="189"/>
      <c r="Y6" s="189"/>
      <c r="Z6" s="189"/>
      <c r="AA6" s="321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170" customFormat="1" ht="12" customHeight="1" x14ac:dyDescent="0.25">
      <c r="A7" s="273">
        <v>44777</v>
      </c>
      <c r="B7" s="231" t="s">
        <v>535</v>
      </c>
      <c r="C7" s="274" t="s">
        <v>145</v>
      </c>
      <c r="D7" s="285">
        <v>64</v>
      </c>
      <c r="E7" s="218"/>
      <c r="F7" s="219"/>
      <c r="G7" s="286"/>
      <c r="H7" s="304"/>
      <c r="I7" s="185">
        <v>64</v>
      </c>
      <c r="J7" s="185"/>
      <c r="K7" s="186"/>
      <c r="L7" s="185"/>
      <c r="M7" s="185"/>
      <c r="N7" s="185"/>
      <c r="O7" s="305"/>
      <c r="P7" s="318"/>
      <c r="Q7" s="191"/>
      <c r="R7" s="191"/>
      <c r="S7" s="191"/>
      <c r="T7" s="191"/>
      <c r="U7" s="232"/>
      <c r="V7" s="191"/>
      <c r="W7" s="192"/>
      <c r="X7" s="191"/>
      <c r="Y7" s="191"/>
      <c r="Z7" s="191"/>
      <c r="AA7" s="319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170" customFormat="1" ht="12" customHeight="1" x14ac:dyDescent="0.25">
      <c r="A8" s="275">
        <v>44777</v>
      </c>
      <c r="B8" s="528" t="s">
        <v>146</v>
      </c>
      <c r="C8" s="276" t="s">
        <v>145</v>
      </c>
      <c r="D8" s="287"/>
      <c r="E8" s="220">
        <v>29.99</v>
      </c>
      <c r="F8" s="221"/>
      <c r="G8" s="288"/>
      <c r="H8" s="306"/>
      <c r="I8" s="183"/>
      <c r="J8" s="183"/>
      <c r="K8" s="184"/>
      <c r="L8" s="183"/>
      <c r="M8" s="183"/>
      <c r="N8" s="183"/>
      <c r="O8" s="470"/>
      <c r="P8" s="320"/>
      <c r="Q8" s="189"/>
      <c r="R8" s="189"/>
      <c r="S8" s="189"/>
      <c r="T8" s="189"/>
      <c r="U8" s="471"/>
      <c r="V8" s="189">
        <f>29.99</f>
        <v>29.99</v>
      </c>
      <c r="W8" s="190"/>
      <c r="X8" s="189"/>
      <c r="Y8" s="189"/>
      <c r="Z8" s="189"/>
      <c r="AA8" s="321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527" customFormat="1" ht="12" customHeight="1" x14ac:dyDescent="0.25">
      <c r="A9" s="275">
        <v>44778</v>
      </c>
      <c r="B9" s="469" t="s">
        <v>542</v>
      </c>
      <c r="C9" s="276" t="s">
        <v>145</v>
      </c>
      <c r="D9" s="287"/>
      <c r="E9" s="220"/>
      <c r="F9" s="221"/>
      <c r="G9" s="288">
        <v>1.7</v>
      </c>
      <c r="H9" s="306"/>
      <c r="I9" s="183"/>
      <c r="J9" s="183"/>
      <c r="K9" s="184"/>
      <c r="L9" s="183"/>
      <c r="M9" s="183"/>
      <c r="N9" s="183"/>
      <c r="O9" s="470"/>
      <c r="P9" s="320"/>
      <c r="Q9" s="189">
        <v>1.7</v>
      </c>
      <c r="R9" s="189"/>
      <c r="S9" s="189"/>
      <c r="T9" s="189"/>
      <c r="U9" s="471"/>
      <c r="V9" s="189"/>
      <c r="W9" s="190"/>
      <c r="X9" s="189"/>
      <c r="Y9" s="189"/>
      <c r="Z9" s="189"/>
      <c r="AA9" s="321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170" customFormat="1" ht="12" customHeight="1" x14ac:dyDescent="0.25">
      <c r="A10" s="273">
        <v>44779</v>
      </c>
      <c r="B10" s="231" t="s">
        <v>537</v>
      </c>
      <c r="C10" s="274" t="s">
        <v>145</v>
      </c>
      <c r="D10" s="285">
        <v>38</v>
      </c>
      <c r="E10" s="218"/>
      <c r="F10" s="219"/>
      <c r="G10" s="286"/>
      <c r="H10" s="304"/>
      <c r="I10" s="185"/>
      <c r="J10" s="185"/>
      <c r="K10" s="186">
        <v>38</v>
      </c>
      <c r="L10" s="185"/>
      <c r="M10" s="185"/>
      <c r="N10" s="185"/>
      <c r="O10" s="305"/>
      <c r="P10" s="318"/>
      <c r="Q10" s="191"/>
      <c r="R10" s="191"/>
      <c r="S10" s="191"/>
      <c r="T10" s="191"/>
      <c r="U10" s="232"/>
      <c r="V10" s="191"/>
      <c r="W10" s="192"/>
      <c r="X10" s="191"/>
      <c r="Y10" s="191"/>
      <c r="Z10" s="191"/>
      <c r="AA10" s="319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170" customFormat="1" ht="12" customHeight="1" x14ac:dyDescent="0.25">
      <c r="A11" s="273">
        <v>44779</v>
      </c>
      <c r="B11" s="231" t="s">
        <v>538</v>
      </c>
      <c r="C11" s="274" t="s">
        <v>145</v>
      </c>
      <c r="D11" s="285">
        <v>12</v>
      </c>
      <c r="E11" s="218"/>
      <c r="F11" s="219"/>
      <c r="G11" s="286"/>
      <c r="H11" s="304"/>
      <c r="I11" s="185"/>
      <c r="J11" s="185"/>
      <c r="K11" s="186">
        <v>12</v>
      </c>
      <c r="L11" s="185"/>
      <c r="M11" s="185"/>
      <c r="N11" s="185"/>
      <c r="O11" s="305"/>
      <c r="P11" s="318"/>
      <c r="Q11" s="191"/>
      <c r="R11" s="191"/>
      <c r="S11" s="191"/>
      <c r="T11" s="191"/>
      <c r="U11" s="232"/>
      <c r="V11" s="191"/>
      <c r="W11" s="192"/>
      <c r="X11" s="191"/>
      <c r="Y11" s="191"/>
      <c r="Z11" s="191"/>
      <c r="AA11" s="319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170" customFormat="1" ht="12" customHeight="1" x14ac:dyDescent="0.25">
      <c r="A12" s="273">
        <v>44779</v>
      </c>
      <c r="B12" s="231" t="s">
        <v>539</v>
      </c>
      <c r="C12" s="274" t="s">
        <v>145</v>
      </c>
      <c r="D12" s="285"/>
      <c r="E12" s="218"/>
      <c r="F12" s="219">
        <v>64</v>
      </c>
      <c r="G12" s="286"/>
      <c r="H12" s="304"/>
      <c r="I12" s="185"/>
      <c r="J12" s="185"/>
      <c r="K12" s="186">
        <v>64</v>
      </c>
      <c r="L12" s="185"/>
      <c r="M12" s="185"/>
      <c r="N12" s="185"/>
      <c r="O12" s="305"/>
      <c r="P12" s="318"/>
      <c r="Q12" s="191"/>
      <c r="R12" s="191"/>
      <c r="S12" s="191"/>
      <c r="T12" s="191"/>
      <c r="U12" s="232"/>
      <c r="V12" s="191"/>
      <c r="W12" s="192"/>
      <c r="X12" s="191"/>
      <c r="Y12" s="191"/>
      <c r="Z12" s="191"/>
      <c r="AA12" s="319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170" customFormat="1" ht="12" customHeight="1" x14ac:dyDescent="0.25">
      <c r="A13" s="273">
        <v>44779</v>
      </c>
      <c r="B13" s="231" t="s">
        <v>540</v>
      </c>
      <c r="C13" s="274" t="s">
        <v>145</v>
      </c>
      <c r="D13" s="285"/>
      <c r="E13" s="218"/>
      <c r="F13" s="219">
        <v>62</v>
      </c>
      <c r="G13" s="286"/>
      <c r="H13" s="304"/>
      <c r="I13" s="185"/>
      <c r="J13" s="185"/>
      <c r="K13" s="186">
        <v>62</v>
      </c>
      <c r="L13" s="185"/>
      <c r="M13" s="185"/>
      <c r="N13" s="185"/>
      <c r="O13" s="305"/>
      <c r="P13" s="318"/>
      <c r="Q13" s="191"/>
      <c r="R13" s="191"/>
      <c r="S13" s="191"/>
      <c r="T13" s="191"/>
      <c r="U13" s="232"/>
      <c r="V13" s="191"/>
      <c r="W13" s="192"/>
      <c r="X13" s="191"/>
      <c r="Y13" s="191"/>
      <c r="Z13" s="191"/>
      <c r="AA13" s="319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170" customFormat="1" ht="12" customHeight="1" x14ac:dyDescent="0.25">
      <c r="A14" s="273">
        <v>44779</v>
      </c>
      <c r="B14" s="231" t="s">
        <v>536</v>
      </c>
      <c r="C14" s="274" t="s">
        <v>145</v>
      </c>
      <c r="D14" s="285"/>
      <c r="E14" s="218"/>
      <c r="F14" s="219">
        <v>2</v>
      </c>
      <c r="G14" s="286"/>
      <c r="H14" s="304"/>
      <c r="I14" s="185"/>
      <c r="J14" s="185"/>
      <c r="K14" s="186">
        <v>2</v>
      </c>
      <c r="L14" s="185"/>
      <c r="M14" s="185"/>
      <c r="N14" s="185"/>
      <c r="O14" s="305"/>
      <c r="P14" s="318"/>
      <c r="Q14" s="191"/>
      <c r="R14" s="191"/>
      <c r="S14" s="191"/>
      <c r="T14" s="191"/>
      <c r="U14" s="232"/>
      <c r="V14" s="191"/>
      <c r="W14" s="192"/>
      <c r="X14" s="191"/>
      <c r="Y14" s="191"/>
      <c r="Z14" s="191"/>
      <c r="AA14" s="319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170" customFormat="1" ht="12" customHeight="1" x14ac:dyDescent="0.25">
      <c r="A15" s="273">
        <v>44779</v>
      </c>
      <c r="B15" s="231" t="s">
        <v>536</v>
      </c>
      <c r="C15" s="274" t="s">
        <v>145</v>
      </c>
      <c r="D15" s="285">
        <v>5</v>
      </c>
      <c r="E15" s="218"/>
      <c r="F15" s="219"/>
      <c r="G15" s="286"/>
      <c r="H15" s="304"/>
      <c r="I15" s="185"/>
      <c r="J15" s="185"/>
      <c r="K15" s="186">
        <v>5</v>
      </c>
      <c r="L15" s="185"/>
      <c r="M15" s="185"/>
      <c r="N15" s="185"/>
      <c r="O15" s="305"/>
      <c r="P15" s="318"/>
      <c r="Q15" s="191"/>
      <c r="R15" s="191"/>
      <c r="S15" s="191"/>
      <c r="T15" s="191"/>
      <c r="U15" s="232"/>
      <c r="V15" s="191"/>
      <c r="W15" s="192"/>
      <c r="X15" s="191"/>
      <c r="Y15" s="191"/>
      <c r="Z15" s="191"/>
      <c r="AA15" s="319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170" customFormat="1" ht="12" customHeight="1" x14ac:dyDescent="0.25">
      <c r="A16" s="273">
        <v>44779</v>
      </c>
      <c r="B16" s="231" t="s">
        <v>541</v>
      </c>
      <c r="C16" s="274" t="s">
        <v>145</v>
      </c>
      <c r="D16" s="285"/>
      <c r="E16" s="218"/>
      <c r="F16" s="219">
        <v>57.5</v>
      </c>
      <c r="G16" s="286"/>
      <c r="H16" s="304"/>
      <c r="I16" s="185"/>
      <c r="J16" s="185"/>
      <c r="K16" s="186">
        <v>57.5</v>
      </c>
      <c r="L16" s="185"/>
      <c r="M16" s="185"/>
      <c r="N16" s="185"/>
      <c r="O16" s="305"/>
      <c r="P16" s="318"/>
      <c r="Q16" s="191"/>
      <c r="R16" s="191"/>
      <c r="S16" s="191"/>
      <c r="T16" s="191"/>
      <c r="U16" s="232"/>
      <c r="V16" s="191"/>
      <c r="W16" s="192"/>
      <c r="X16" s="191"/>
      <c r="Y16" s="191"/>
      <c r="Z16" s="191"/>
      <c r="AA16" s="319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170" customFormat="1" ht="12" customHeight="1" x14ac:dyDescent="0.25">
      <c r="A17" s="273">
        <v>44782</v>
      </c>
      <c r="B17" s="231" t="s">
        <v>475</v>
      </c>
      <c r="C17" s="274" t="s">
        <v>145</v>
      </c>
      <c r="D17" s="285">
        <v>23</v>
      </c>
      <c r="E17" s="218"/>
      <c r="F17" s="219"/>
      <c r="G17" s="286"/>
      <c r="H17" s="304"/>
      <c r="I17" s="185">
        <v>23</v>
      </c>
      <c r="J17" s="185"/>
      <c r="K17" s="186"/>
      <c r="L17" s="185"/>
      <c r="M17" s="185"/>
      <c r="N17" s="185"/>
      <c r="O17" s="305"/>
      <c r="P17" s="318"/>
      <c r="Q17" s="191"/>
      <c r="R17" s="191"/>
      <c r="S17" s="191"/>
      <c r="T17" s="191"/>
      <c r="U17" s="232"/>
      <c r="V17" s="191"/>
      <c r="W17" s="192"/>
      <c r="X17" s="191"/>
      <c r="Y17" s="191"/>
      <c r="Z17" s="191"/>
      <c r="AA17" s="319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170" customFormat="1" ht="12" customHeight="1" x14ac:dyDescent="0.25">
      <c r="A18" s="273">
        <v>44782</v>
      </c>
      <c r="B18" s="231" t="s">
        <v>144</v>
      </c>
      <c r="C18" s="274" t="s">
        <v>145</v>
      </c>
      <c r="D18" s="285">
        <v>98.14</v>
      </c>
      <c r="E18" s="218"/>
      <c r="F18" s="219"/>
      <c r="G18" s="286"/>
      <c r="H18" s="304"/>
      <c r="I18" s="185">
        <v>98.14</v>
      </c>
      <c r="J18" s="185"/>
      <c r="K18" s="186"/>
      <c r="L18" s="185"/>
      <c r="M18" s="185"/>
      <c r="N18" s="185"/>
      <c r="O18" s="305"/>
      <c r="P18" s="318"/>
      <c r="Q18" s="191"/>
      <c r="R18" s="191"/>
      <c r="S18" s="191"/>
      <c r="T18" s="191"/>
      <c r="U18" s="232"/>
      <c r="V18" s="191"/>
      <c r="W18" s="192"/>
      <c r="X18" s="191"/>
      <c r="Y18" s="191"/>
      <c r="Z18" s="191"/>
      <c r="AA18" s="319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170" customFormat="1" ht="12" customHeight="1" x14ac:dyDescent="0.25">
      <c r="A19" s="273">
        <v>44784</v>
      </c>
      <c r="B19" s="231" t="s">
        <v>552</v>
      </c>
      <c r="C19" s="274" t="s">
        <v>145</v>
      </c>
      <c r="D19" s="285"/>
      <c r="E19" s="218">
        <v>82.59</v>
      </c>
      <c r="F19" s="219"/>
      <c r="G19" s="286"/>
      <c r="H19" s="304"/>
      <c r="I19" s="185"/>
      <c r="J19" s="185"/>
      <c r="K19" s="186"/>
      <c r="L19" s="185"/>
      <c r="M19" s="185"/>
      <c r="N19" s="185"/>
      <c r="O19" s="305"/>
      <c r="P19" s="318">
        <v>82.59</v>
      </c>
      <c r="Q19" s="191"/>
      <c r="R19" s="191"/>
      <c r="S19" s="191"/>
      <c r="T19" s="191"/>
      <c r="U19" s="232"/>
      <c r="V19" s="191"/>
      <c r="W19" s="192"/>
      <c r="X19" s="191"/>
      <c r="Y19" s="191"/>
      <c r="Z19" s="191"/>
      <c r="AA19" s="319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170" customFormat="1" ht="12" customHeight="1" x14ac:dyDescent="0.25">
      <c r="A20" s="273">
        <v>44785</v>
      </c>
      <c r="B20" s="231" t="s">
        <v>144</v>
      </c>
      <c r="C20" s="274" t="s">
        <v>145</v>
      </c>
      <c r="D20" s="285">
        <v>60</v>
      </c>
      <c r="E20" s="218"/>
      <c r="F20" s="219"/>
      <c r="G20" s="286"/>
      <c r="H20" s="304"/>
      <c r="I20" s="185">
        <v>60</v>
      </c>
      <c r="J20" s="185"/>
      <c r="K20" s="186"/>
      <c r="L20" s="185"/>
      <c r="M20" s="185"/>
      <c r="N20" s="185"/>
      <c r="O20" s="305"/>
      <c r="P20" s="318"/>
      <c r="Q20" s="191"/>
      <c r="R20" s="191"/>
      <c r="S20" s="191"/>
      <c r="T20" s="191"/>
      <c r="U20" s="232"/>
      <c r="V20" s="191"/>
      <c r="W20" s="192"/>
      <c r="X20" s="191"/>
      <c r="Y20" s="191"/>
      <c r="Z20" s="191"/>
      <c r="AA20" s="319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527" customFormat="1" ht="12" customHeight="1" x14ac:dyDescent="0.25">
      <c r="A21" s="511">
        <v>44785</v>
      </c>
      <c r="B21" s="512" t="s">
        <v>543</v>
      </c>
      <c r="C21" s="513" t="s">
        <v>145</v>
      </c>
      <c r="D21" s="514"/>
      <c r="E21" s="515"/>
      <c r="F21" s="516"/>
      <c r="G21" s="517">
        <v>15.8</v>
      </c>
      <c r="H21" s="518"/>
      <c r="I21" s="519"/>
      <c r="J21" s="519"/>
      <c r="K21" s="520"/>
      <c r="L21" s="519"/>
      <c r="M21" s="519"/>
      <c r="N21" s="519"/>
      <c r="O21" s="521"/>
      <c r="P21" s="522"/>
      <c r="Q21" s="523">
        <v>15.8</v>
      </c>
      <c r="R21" s="523"/>
      <c r="S21" s="523"/>
      <c r="T21" s="523"/>
      <c r="U21" s="524"/>
      <c r="V21" s="523"/>
      <c r="W21" s="525"/>
      <c r="X21" s="523"/>
      <c r="Y21" s="523"/>
      <c r="Z21" s="523"/>
      <c r="AA21" s="526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170" customFormat="1" ht="12" customHeight="1" x14ac:dyDescent="0.25">
      <c r="A22" s="273">
        <v>44788</v>
      </c>
      <c r="B22" s="231" t="s">
        <v>283</v>
      </c>
      <c r="C22" s="274" t="s">
        <v>145</v>
      </c>
      <c r="D22" s="285">
        <v>96</v>
      </c>
      <c r="E22" s="218"/>
      <c r="F22" s="219"/>
      <c r="G22" s="286"/>
      <c r="H22" s="304"/>
      <c r="I22" s="185">
        <v>96</v>
      </c>
      <c r="J22" s="185"/>
      <c r="K22" s="186"/>
      <c r="L22" s="185"/>
      <c r="M22" s="185"/>
      <c r="N22" s="185"/>
      <c r="O22" s="305"/>
      <c r="P22" s="318"/>
      <c r="Q22" s="191"/>
      <c r="R22" s="191"/>
      <c r="S22" s="191"/>
      <c r="T22" s="191"/>
      <c r="U22" s="232"/>
      <c r="V22" s="191"/>
      <c r="W22" s="192"/>
      <c r="X22" s="191"/>
      <c r="Y22" s="191"/>
      <c r="Z22" s="191"/>
      <c r="AA22" s="319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170" customFormat="1" ht="12" customHeight="1" x14ac:dyDescent="0.25">
      <c r="A23" s="273">
        <v>44792</v>
      </c>
      <c r="B23" s="231" t="s">
        <v>544</v>
      </c>
      <c r="C23" s="274" t="s">
        <v>145</v>
      </c>
      <c r="D23" s="285"/>
      <c r="E23" s="218"/>
      <c r="F23" s="219">
        <v>17.5</v>
      </c>
      <c r="G23" s="286"/>
      <c r="H23" s="304"/>
      <c r="I23" s="185"/>
      <c r="J23" s="185"/>
      <c r="K23" s="186">
        <v>17.5</v>
      </c>
      <c r="L23" s="185"/>
      <c r="M23" s="185"/>
      <c r="N23" s="185"/>
      <c r="O23" s="305"/>
      <c r="P23" s="318"/>
      <c r="Q23" s="191"/>
      <c r="R23" s="191"/>
      <c r="S23" s="191"/>
      <c r="T23" s="191"/>
      <c r="U23" s="232"/>
      <c r="V23" s="191"/>
      <c r="W23" s="192"/>
      <c r="X23" s="191"/>
      <c r="Y23" s="191"/>
      <c r="Z23" s="191"/>
      <c r="AA23" s="319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170" customFormat="1" ht="12" customHeight="1" x14ac:dyDescent="0.25">
      <c r="A24" s="273">
        <v>44792</v>
      </c>
      <c r="B24" s="231" t="s">
        <v>545</v>
      </c>
      <c r="C24" s="274" t="s">
        <v>145</v>
      </c>
      <c r="D24" s="285"/>
      <c r="E24" s="218"/>
      <c r="F24" s="219">
        <v>66</v>
      </c>
      <c r="G24" s="286"/>
      <c r="H24" s="304"/>
      <c r="I24" s="185"/>
      <c r="J24" s="185"/>
      <c r="K24" s="186">
        <v>66</v>
      </c>
      <c r="L24" s="185"/>
      <c r="M24" s="185"/>
      <c r="N24" s="185"/>
      <c r="O24" s="305"/>
      <c r="P24" s="318"/>
      <c r="Q24" s="191"/>
      <c r="R24" s="191"/>
      <c r="S24" s="191"/>
      <c r="T24" s="191"/>
      <c r="U24" s="232"/>
      <c r="V24" s="191"/>
      <c r="W24" s="192"/>
      <c r="X24" s="191"/>
      <c r="Y24" s="191"/>
      <c r="Z24" s="191"/>
      <c r="AA24" s="319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170" customFormat="1" ht="12" customHeight="1" x14ac:dyDescent="0.25">
      <c r="A25" s="273">
        <v>44792</v>
      </c>
      <c r="B25" s="231" t="s">
        <v>546</v>
      </c>
      <c r="C25" s="274" t="s">
        <v>145</v>
      </c>
      <c r="D25" s="285">
        <v>32</v>
      </c>
      <c r="E25" s="218"/>
      <c r="F25" s="219"/>
      <c r="G25" s="286"/>
      <c r="H25" s="304"/>
      <c r="I25" s="185"/>
      <c r="J25" s="185"/>
      <c r="K25" s="186">
        <v>32</v>
      </c>
      <c r="L25" s="185"/>
      <c r="M25" s="185"/>
      <c r="N25" s="185"/>
      <c r="O25" s="305"/>
      <c r="P25" s="318"/>
      <c r="Q25" s="191"/>
      <c r="R25" s="191"/>
      <c r="S25" s="191"/>
      <c r="T25" s="191"/>
      <c r="U25" s="232"/>
      <c r="V25" s="191"/>
      <c r="W25" s="192"/>
      <c r="X25" s="191"/>
      <c r="Y25" s="191"/>
      <c r="Z25" s="191"/>
      <c r="AA25" s="319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170" customFormat="1" ht="12" customHeight="1" x14ac:dyDescent="0.25">
      <c r="A26" s="273">
        <v>44792</v>
      </c>
      <c r="B26" s="231" t="s">
        <v>547</v>
      </c>
      <c r="C26" s="274" t="s">
        <v>145</v>
      </c>
      <c r="D26" s="285"/>
      <c r="E26" s="218"/>
      <c r="F26" s="219">
        <v>61</v>
      </c>
      <c r="G26" s="286"/>
      <c r="H26" s="304"/>
      <c r="I26" s="185"/>
      <c r="J26" s="185"/>
      <c r="K26" s="186">
        <v>61</v>
      </c>
      <c r="L26" s="185"/>
      <c r="M26" s="185"/>
      <c r="N26" s="185"/>
      <c r="O26" s="305"/>
      <c r="P26" s="318"/>
      <c r="Q26" s="191"/>
      <c r="R26" s="191"/>
      <c r="S26" s="191"/>
      <c r="T26" s="191"/>
      <c r="U26" s="232"/>
      <c r="V26" s="191"/>
      <c r="W26" s="192"/>
      <c r="X26" s="191"/>
      <c r="Y26" s="191"/>
      <c r="Z26" s="191"/>
      <c r="AA26" s="319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170" customFormat="1" ht="12" customHeight="1" x14ac:dyDescent="0.25">
      <c r="A27" s="273">
        <v>44792</v>
      </c>
      <c r="B27" s="231" t="s">
        <v>548</v>
      </c>
      <c r="C27" s="274" t="s">
        <v>145</v>
      </c>
      <c r="D27" s="285"/>
      <c r="E27" s="218"/>
      <c r="F27" s="219">
        <v>18</v>
      </c>
      <c r="G27" s="286"/>
      <c r="H27" s="304"/>
      <c r="I27" s="185"/>
      <c r="J27" s="185"/>
      <c r="K27" s="186">
        <v>18</v>
      </c>
      <c r="L27" s="185"/>
      <c r="M27" s="185"/>
      <c r="N27" s="185"/>
      <c r="O27" s="305"/>
      <c r="P27" s="318"/>
      <c r="Q27" s="191"/>
      <c r="R27" s="191"/>
      <c r="S27" s="191"/>
      <c r="T27" s="191"/>
      <c r="U27" s="232"/>
      <c r="V27" s="191"/>
      <c r="W27" s="192"/>
      <c r="X27" s="191"/>
      <c r="Y27" s="191"/>
      <c r="Z27" s="191"/>
      <c r="AA27" s="319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170" customFormat="1" ht="12" customHeight="1" x14ac:dyDescent="0.25">
      <c r="A28" s="273">
        <v>44792</v>
      </c>
      <c r="B28" s="231" t="s">
        <v>549</v>
      </c>
      <c r="C28" s="274" t="s">
        <v>145</v>
      </c>
      <c r="D28" s="285">
        <v>77.5</v>
      </c>
      <c r="E28" s="218"/>
      <c r="F28" s="219"/>
      <c r="G28" s="286"/>
      <c r="H28" s="304"/>
      <c r="I28" s="185"/>
      <c r="J28" s="185"/>
      <c r="K28" s="186">
        <v>77.5</v>
      </c>
      <c r="L28" s="185"/>
      <c r="M28" s="185"/>
      <c r="N28" s="185"/>
      <c r="O28" s="305"/>
      <c r="P28" s="318"/>
      <c r="Q28" s="191"/>
      <c r="R28" s="191"/>
      <c r="S28" s="191"/>
      <c r="T28" s="191"/>
      <c r="U28" s="232"/>
      <c r="V28" s="191"/>
      <c r="W28" s="192"/>
      <c r="X28" s="191"/>
      <c r="Y28" s="191"/>
      <c r="Z28" s="191"/>
      <c r="AA28" s="319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170" customFormat="1" ht="12" customHeight="1" x14ac:dyDescent="0.25">
      <c r="A29" s="273">
        <v>44792</v>
      </c>
      <c r="B29" s="231" t="s">
        <v>549</v>
      </c>
      <c r="C29" s="274" t="s">
        <v>145</v>
      </c>
      <c r="D29" s="285"/>
      <c r="E29" s="218"/>
      <c r="F29" s="219">
        <v>10</v>
      </c>
      <c r="G29" s="286"/>
      <c r="H29" s="304"/>
      <c r="I29" s="185"/>
      <c r="J29" s="185"/>
      <c r="K29" s="186">
        <v>10</v>
      </c>
      <c r="L29" s="185"/>
      <c r="M29" s="185"/>
      <c r="N29" s="185"/>
      <c r="O29" s="305"/>
      <c r="P29" s="318"/>
      <c r="Q29" s="191"/>
      <c r="R29" s="191"/>
      <c r="S29" s="191"/>
      <c r="T29" s="191"/>
      <c r="U29" s="232"/>
      <c r="V29" s="191"/>
      <c r="W29" s="192"/>
      <c r="X29" s="191"/>
      <c r="Y29" s="191"/>
      <c r="Z29" s="191"/>
      <c r="AA29" s="319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170" customFormat="1" ht="12" customHeight="1" x14ac:dyDescent="0.25">
      <c r="A30" s="273">
        <v>44792</v>
      </c>
      <c r="B30" s="231" t="s">
        <v>550</v>
      </c>
      <c r="C30" s="274" t="s">
        <v>145</v>
      </c>
      <c r="D30" s="285"/>
      <c r="E30" s="218"/>
      <c r="F30" s="219">
        <v>77</v>
      </c>
      <c r="G30" s="286"/>
      <c r="H30" s="304"/>
      <c r="I30" s="185"/>
      <c r="J30" s="185"/>
      <c r="K30" s="186">
        <v>77</v>
      </c>
      <c r="L30" s="185"/>
      <c r="M30" s="185"/>
      <c r="N30" s="185"/>
      <c r="O30" s="305"/>
      <c r="P30" s="318"/>
      <c r="Q30" s="191"/>
      <c r="R30" s="191"/>
      <c r="S30" s="191"/>
      <c r="T30" s="191"/>
      <c r="U30" s="232"/>
      <c r="V30" s="191"/>
      <c r="W30" s="192"/>
      <c r="X30" s="191"/>
      <c r="Y30" s="191"/>
      <c r="Z30" s="191"/>
      <c r="AA30" s="319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170" customFormat="1" ht="12" customHeight="1" x14ac:dyDescent="0.25">
      <c r="A31" s="273">
        <v>44792</v>
      </c>
      <c r="B31" s="231" t="s">
        <v>551</v>
      </c>
      <c r="C31" s="274" t="s">
        <v>145</v>
      </c>
      <c r="D31" s="285">
        <v>84</v>
      </c>
      <c r="E31" s="218"/>
      <c r="F31" s="219"/>
      <c r="G31" s="286"/>
      <c r="H31" s="304"/>
      <c r="I31" s="185"/>
      <c r="J31" s="185"/>
      <c r="K31" s="186">
        <v>84</v>
      </c>
      <c r="L31" s="185"/>
      <c r="M31" s="185"/>
      <c r="N31" s="185"/>
      <c r="O31" s="305"/>
      <c r="P31" s="318"/>
      <c r="Q31" s="191"/>
      <c r="R31" s="191"/>
      <c r="S31" s="191"/>
      <c r="T31" s="191"/>
      <c r="U31" s="232"/>
      <c r="V31" s="191"/>
      <c r="W31" s="192"/>
      <c r="X31" s="191"/>
      <c r="Y31" s="191"/>
      <c r="Z31" s="191"/>
      <c r="AA31" s="319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170" customFormat="1" ht="12" customHeight="1" x14ac:dyDescent="0.25">
      <c r="A32" s="273">
        <v>44793</v>
      </c>
      <c r="B32" s="231" t="s">
        <v>553</v>
      </c>
      <c r="C32" s="274" t="s">
        <v>145</v>
      </c>
      <c r="D32" s="285">
        <v>419.2</v>
      </c>
      <c r="E32" s="218"/>
      <c r="F32" s="219"/>
      <c r="G32" s="286">
        <v>419.2</v>
      </c>
      <c r="H32" s="304"/>
      <c r="I32" s="185"/>
      <c r="J32" s="185"/>
      <c r="K32" s="186"/>
      <c r="L32" s="185"/>
      <c r="M32" s="185"/>
      <c r="N32" s="185"/>
      <c r="O32" s="305"/>
      <c r="P32" s="318"/>
      <c r="Q32" s="191"/>
      <c r="R32" s="191"/>
      <c r="S32" s="191"/>
      <c r="T32" s="191"/>
      <c r="U32" s="232"/>
      <c r="V32" s="191"/>
      <c r="W32" s="192"/>
      <c r="X32" s="191"/>
      <c r="Y32" s="191"/>
      <c r="Z32" s="191"/>
      <c r="AA32" s="319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170" customFormat="1" ht="12" customHeight="1" x14ac:dyDescent="0.25">
      <c r="A33" s="273">
        <v>44794</v>
      </c>
      <c r="B33" s="231" t="s">
        <v>554</v>
      </c>
      <c r="C33" s="274" t="s">
        <v>145</v>
      </c>
      <c r="D33" s="285">
        <v>500</v>
      </c>
      <c r="E33" s="218"/>
      <c r="F33" s="219"/>
      <c r="G33" s="286"/>
      <c r="H33" s="304"/>
      <c r="I33" s="185">
        <v>500</v>
      </c>
      <c r="J33" s="185"/>
      <c r="K33" s="186"/>
      <c r="L33" s="185"/>
      <c r="M33" s="185"/>
      <c r="N33" s="185"/>
      <c r="O33" s="305"/>
      <c r="P33" s="318"/>
      <c r="Q33" s="191"/>
      <c r="R33" s="191"/>
      <c r="S33" s="191"/>
      <c r="T33" s="191"/>
      <c r="U33" s="232"/>
      <c r="V33" s="191"/>
      <c r="W33" s="192"/>
      <c r="X33" s="191"/>
      <c r="Y33" s="191"/>
      <c r="Z33" s="191"/>
      <c r="AA33" s="319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170" customFormat="1" ht="12" customHeight="1" x14ac:dyDescent="0.25">
      <c r="A34" s="273">
        <v>44796</v>
      </c>
      <c r="B34" s="231" t="s">
        <v>555</v>
      </c>
      <c r="C34" s="274" t="s">
        <v>145</v>
      </c>
      <c r="D34" s="285">
        <v>30</v>
      </c>
      <c r="E34" s="218"/>
      <c r="F34" s="219"/>
      <c r="G34" s="286"/>
      <c r="H34" s="304"/>
      <c r="I34" s="185">
        <v>30</v>
      </c>
      <c r="J34" s="185"/>
      <c r="K34" s="186"/>
      <c r="L34" s="185"/>
      <c r="M34" s="185"/>
      <c r="N34" s="185"/>
      <c r="O34" s="305"/>
      <c r="P34" s="318"/>
      <c r="Q34" s="191"/>
      <c r="R34" s="191"/>
      <c r="S34" s="191"/>
      <c r="T34" s="191"/>
      <c r="U34" s="232"/>
      <c r="V34" s="191"/>
      <c r="W34" s="192"/>
      <c r="X34" s="191"/>
      <c r="Y34" s="191"/>
      <c r="Z34" s="191"/>
      <c r="AA34" s="319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170" customFormat="1" ht="12" customHeight="1" x14ac:dyDescent="0.25">
      <c r="A35" s="273">
        <v>44797</v>
      </c>
      <c r="B35" s="231" t="s">
        <v>394</v>
      </c>
      <c r="C35" s="274" t="s">
        <v>145</v>
      </c>
      <c r="D35" s="285">
        <v>100</v>
      </c>
      <c r="E35" s="218"/>
      <c r="F35" s="219"/>
      <c r="G35" s="286"/>
      <c r="H35" s="304"/>
      <c r="I35" s="185">
        <v>100</v>
      </c>
      <c r="J35" s="185"/>
      <c r="K35" s="186"/>
      <c r="L35" s="185"/>
      <c r="M35" s="185"/>
      <c r="N35" s="185"/>
      <c r="O35" s="305"/>
      <c r="P35" s="318"/>
      <c r="Q35" s="191"/>
      <c r="R35" s="191"/>
      <c r="S35" s="191"/>
      <c r="T35" s="191"/>
      <c r="U35" s="232"/>
      <c r="V35" s="191"/>
      <c r="W35" s="192"/>
      <c r="X35" s="191"/>
      <c r="Y35" s="191"/>
      <c r="Z35" s="191"/>
      <c r="AA35" s="319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170" customFormat="1" ht="12" customHeight="1" x14ac:dyDescent="0.25">
      <c r="A36" s="273">
        <v>44798</v>
      </c>
      <c r="B36" s="231" t="s">
        <v>555</v>
      </c>
      <c r="C36" s="274" t="s">
        <v>145</v>
      </c>
      <c r="D36" s="285">
        <v>158</v>
      </c>
      <c r="E36" s="218"/>
      <c r="F36" s="219"/>
      <c r="G36" s="286"/>
      <c r="H36" s="304"/>
      <c r="I36" s="185">
        <v>158</v>
      </c>
      <c r="J36" s="185"/>
      <c r="K36" s="186"/>
      <c r="L36" s="185"/>
      <c r="M36" s="185"/>
      <c r="N36" s="185"/>
      <c r="O36" s="305"/>
      <c r="P36" s="318"/>
      <c r="Q36" s="191"/>
      <c r="R36" s="191"/>
      <c r="S36" s="191"/>
      <c r="T36" s="191"/>
      <c r="U36" s="232"/>
      <c r="V36" s="191"/>
      <c r="W36" s="192"/>
      <c r="X36" s="191"/>
      <c r="Y36" s="191"/>
      <c r="Z36" s="191"/>
      <c r="AA36" s="319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170" customFormat="1" ht="12" customHeight="1" x14ac:dyDescent="0.25">
      <c r="A37" s="273">
        <v>44799</v>
      </c>
      <c r="B37" s="231" t="s">
        <v>208</v>
      </c>
      <c r="C37" s="274" t="s">
        <v>145</v>
      </c>
      <c r="D37" s="285"/>
      <c r="E37" s="218">
        <v>172.8</v>
      </c>
      <c r="F37" s="219"/>
      <c r="G37" s="286"/>
      <c r="H37" s="304"/>
      <c r="I37" s="185"/>
      <c r="J37" s="185"/>
      <c r="K37" s="186"/>
      <c r="L37" s="185"/>
      <c r="M37" s="185"/>
      <c r="N37" s="185"/>
      <c r="O37" s="305"/>
      <c r="P37" s="318"/>
      <c r="Q37" s="191"/>
      <c r="R37" s="191"/>
      <c r="S37" s="191"/>
      <c r="T37" s="191"/>
      <c r="U37" s="232"/>
      <c r="V37" s="191">
        <v>172.8</v>
      </c>
      <c r="W37" s="192"/>
      <c r="X37" s="191"/>
      <c r="Y37" s="191"/>
      <c r="Z37" s="191"/>
      <c r="AA37" s="319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527" customFormat="1" ht="12" customHeight="1" x14ac:dyDescent="0.25">
      <c r="A38" s="511">
        <v>44802</v>
      </c>
      <c r="B38" s="512" t="s">
        <v>520</v>
      </c>
      <c r="C38" s="513" t="s">
        <v>145</v>
      </c>
      <c r="D38" s="514">
        <v>30</v>
      </c>
      <c r="E38" s="515"/>
      <c r="F38" s="516"/>
      <c r="G38" s="517"/>
      <c r="H38" s="518"/>
      <c r="I38" s="519">
        <v>30</v>
      </c>
      <c r="J38" s="519"/>
      <c r="K38" s="520"/>
      <c r="L38" s="519"/>
      <c r="M38" s="519"/>
      <c r="N38" s="519"/>
      <c r="O38" s="521"/>
      <c r="P38" s="522"/>
      <c r="Q38" s="523"/>
      <c r="R38" s="523"/>
      <c r="S38" s="523"/>
      <c r="T38" s="523"/>
      <c r="U38" s="524"/>
      <c r="V38" s="523"/>
      <c r="W38" s="525"/>
      <c r="X38" s="523"/>
      <c r="Y38" s="523"/>
      <c r="Z38" s="523"/>
      <c r="AA38" s="526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527" customFormat="1" ht="12" customHeight="1" x14ac:dyDescent="0.25">
      <c r="A39" s="511">
        <v>44803</v>
      </c>
      <c r="B39" s="512" t="s">
        <v>436</v>
      </c>
      <c r="C39" s="513" t="s">
        <v>145</v>
      </c>
      <c r="D39" s="514">
        <v>150.51</v>
      </c>
      <c r="E39" s="515"/>
      <c r="F39" s="516"/>
      <c r="G39" s="517"/>
      <c r="H39" s="518"/>
      <c r="I39" s="519">
        <v>150.51</v>
      </c>
      <c r="J39" s="519"/>
      <c r="K39" s="520"/>
      <c r="L39" s="519"/>
      <c r="M39" s="519"/>
      <c r="N39" s="519"/>
      <c r="O39" s="521"/>
      <c r="P39" s="522"/>
      <c r="Q39" s="523"/>
      <c r="R39" s="523"/>
      <c r="S39" s="523"/>
      <c r="T39" s="523"/>
      <c r="U39" s="524"/>
      <c r="V39" s="523"/>
      <c r="W39" s="525"/>
      <c r="X39" s="523"/>
      <c r="Y39" s="523"/>
      <c r="Z39" s="523"/>
      <c r="AA39" s="526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170" customFormat="1" ht="12" customHeight="1" x14ac:dyDescent="0.25">
      <c r="A40" s="273">
        <v>44804</v>
      </c>
      <c r="B40" s="231" t="s">
        <v>215</v>
      </c>
      <c r="C40" s="274" t="s">
        <v>145</v>
      </c>
      <c r="D40" s="285"/>
      <c r="E40" s="218">
        <v>60</v>
      </c>
      <c r="F40" s="219"/>
      <c r="G40" s="286"/>
      <c r="H40" s="304"/>
      <c r="I40" s="185"/>
      <c r="J40" s="185"/>
      <c r="K40" s="186"/>
      <c r="L40" s="185"/>
      <c r="M40" s="185"/>
      <c r="N40" s="185"/>
      <c r="O40" s="305"/>
      <c r="P40" s="318"/>
      <c r="Q40" s="191"/>
      <c r="R40" s="191"/>
      <c r="S40" s="191"/>
      <c r="T40" s="191"/>
      <c r="U40" s="232"/>
      <c r="V40" s="191">
        <v>60</v>
      </c>
      <c r="W40" s="192"/>
      <c r="X40" s="191"/>
      <c r="Y40" s="191"/>
      <c r="Z40" s="191"/>
      <c r="AA40" s="319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170" customFormat="1" ht="12" customHeight="1" x14ac:dyDescent="0.25">
      <c r="A41" s="273">
        <v>44804</v>
      </c>
      <c r="B41" s="231" t="s">
        <v>556</v>
      </c>
      <c r="C41" s="274" t="s">
        <v>145</v>
      </c>
      <c r="D41" s="285"/>
      <c r="E41" s="218">
        <v>16.8</v>
      </c>
      <c r="F41" s="219"/>
      <c r="G41" s="286"/>
      <c r="H41" s="304"/>
      <c r="I41" s="185"/>
      <c r="J41" s="185"/>
      <c r="K41" s="186"/>
      <c r="L41" s="185"/>
      <c r="M41" s="185"/>
      <c r="N41" s="185"/>
      <c r="O41" s="305"/>
      <c r="P41" s="318"/>
      <c r="Q41" s="191"/>
      <c r="R41" s="191"/>
      <c r="S41" s="191">
        <v>16.8</v>
      </c>
      <c r="T41" s="191"/>
      <c r="U41" s="232"/>
      <c r="V41" s="191"/>
      <c r="W41" s="192"/>
      <c r="X41" s="191"/>
      <c r="Y41" s="191"/>
      <c r="Z41" s="191"/>
      <c r="AA41" s="319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44804</v>
      </c>
      <c r="B42" s="231" t="s">
        <v>557</v>
      </c>
      <c r="C42" s="274" t="s">
        <v>145</v>
      </c>
      <c r="D42" s="285"/>
      <c r="E42" s="218">
        <v>37.04</v>
      </c>
      <c r="F42" s="219"/>
      <c r="G42" s="286"/>
      <c r="H42" s="304"/>
      <c r="I42" s="185"/>
      <c r="J42" s="185"/>
      <c r="K42" s="186"/>
      <c r="L42" s="185"/>
      <c r="M42" s="185"/>
      <c r="N42" s="185"/>
      <c r="O42" s="305"/>
      <c r="P42" s="318"/>
      <c r="Q42" s="191"/>
      <c r="R42" s="191"/>
      <c r="S42" s="191">
        <v>37.04</v>
      </c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170" customFormat="1" ht="12" customHeight="1" x14ac:dyDescent="0.25">
      <c r="A43" s="273">
        <v>44804</v>
      </c>
      <c r="B43" s="231" t="s">
        <v>558</v>
      </c>
      <c r="C43" s="274" t="s">
        <v>145</v>
      </c>
      <c r="D43" s="285">
        <v>270</v>
      </c>
      <c r="E43" s="218"/>
      <c r="F43" s="219"/>
      <c r="G43" s="286"/>
      <c r="H43" s="304"/>
      <c r="I43" s="185">
        <v>270</v>
      </c>
      <c r="J43" s="185"/>
      <c r="K43" s="186"/>
      <c r="L43" s="185"/>
      <c r="M43" s="185"/>
      <c r="N43" s="185"/>
      <c r="O43" s="305"/>
      <c r="P43" s="318"/>
      <c r="Q43" s="191"/>
      <c r="R43" s="191"/>
      <c r="S43" s="191"/>
      <c r="T43" s="191"/>
      <c r="U43" s="232"/>
      <c r="V43" s="191"/>
      <c r="W43" s="192"/>
      <c r="X43" s="191"/>
      <c r="Y43" s="191"/>
      <c r="Z43" s="191"/>
      <c r="AA43" s="319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170" customFormat="1" ht="12" customHeight="1" x14ac:dyDescent="0.25">
      <c r="A44" s="273">
        <v>44804</v>
      </c>
      <c r="B44" s="231" t="s">
        <v>430</v>
      </c>
      <c r="C44" s="274" t="s">
        <v>145</v>
      </c>
      <c r="D44" s="285">
        <v>30</v>
      </c>
      <c r="E44" s="218"/>
      <c r="F44" s="219"/>
      <c r="G44" s="286"/>
      <c r="H44" s="304"/>
      <c r="I44" s="185">
        <v>30</v>
      </c>
      <c r="J44" s="185"/>
      <c r="K44" s="186"/>
      <c r="L44" s="185"/>
      <c r="M44" s="185"/>
      <c r="N44" s="185"/>
      <c r="O44" s="305"/>
      <c r="P44" s="318"/>
      <c r="Q44" s="191"/>
      <c r="R44" s="191"/>
      <c r="S44" s="191"/>
      <c r="T44" s="191"/>
      <c r="U44" s="232"/>
      <c r="V44" s="191"/>
      <c r="W44" s="192"/>
      <c r="X44" s="191"/>
      <c r="Y44" s="191"/>
      <c r="Z44" s="191"/>
      <c r="AA44" s="319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170" customFormat="1" ht="12" customHeight="1" x14ac:dyDescent="0.25">
      <c r="A45" s="273">
        <v>44804</v>
      </c>
      <c r="B45" s="231" t="s">
        <v>559</v>
      </c>
      <c r="C45" s="274" t="s">
        <v>145</v>
      </c>
      <c r="D45" s="285"/>
      <c r="E45" s="218"/>
      <c r="F45" s="219"/>
      <c r="G45" s="286">
        <v>1.35</v>
      </c>
      <c r="H45" s="304"/>
      <c r="I45" s="185"/>
      <c r="J45" s="185"/>
      <c r="K45" s="186"/>
      <c r="L45" s="185"/>
      <c r="M45" s="185"/>
      <c r="N45" s="185"/>
      <c r="O45" s="305"/>
      <c r="P45" s="318"/>
      <c r="Q45" s="191">
        <v>1.35</v>
      </c>
      <c r="R45" s="191"/>
      <c r="S45" s="191"/>
      <c r="T45" s="191"/>
      <c r="U45" s="232"/>
      <c r="V45" s="191"/>
      <c r="W45" s="192"/>
      <c r="X45" s="191"/>
      <c r="Y45" s="191"/>
      <c r="Z45" s="191"/>
      <c r="AA45" s="319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170" customFormat="1" ht="12" customHeight="1" x14ac:dyDescent="0.25">
      <c r="A46" s="273">
        <v>44804</v>
      </c>
      <c r="B46" s="231" t="s">
        <v>560</v>
      </c>
      <c r="C46" s="274" t="s">
        <v>145</v>
      </c>
      <c r="D46" s="285"/>
      <c r="E46" s="218"/>
      <c r="F46" s="219">
        <v>418.5</v>
      </c>
      <c r="G46" s="286"/>
      <c r="H46" s="304"/>
      <c r="I46" s="185"/>
      <c r="J46" s="185"/>
      <c r="K46" s="186">
        <v>418.5</v>
      </c>
      <c r="L46" s="185"/>
      <c r="M46" s="185"/>
      <c r="N46" s="185"/>
      <c r="O46" s="305"/>
      <c r="P46" s="318"/>
      <c r="Q46" s="191"/>
      <c r="R46" s="191"/>
      <c r="S46" s="191"/>
      <c r="T46" s="191"/>
      <c r="U46" s="232"/>
      <c r="V46" s="191"/>
      <c r="W46" s="192"/>
      <c r="X46" s="191"/>
      <c r="Y46" s="191"/>
      <c r="Z46" s="191"/>
      <c r="AA46" s="319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170" customFormat="1" ht="12" customHeight="1" x14ac:dyDescent="0.25">
      <c r="A47" s="273">
        <v>44804</v>
      </c>
      <c r="B47" s="231" t="s">
        <v>562</v>
      </c>
      <c r="C47" s="274" t="s">
        <v>145</v>
      </c>
      <c r="D47" s="285"/>
      <c r="E47" s="218"/>
      <c r="F47" s="219">
        <v>20</v>
      </c>
      <c r="G47" s="286"/>
      <c r="H47" s="304"/>
      <c r="I47" s="185"/>
      <c r="J47" s="185"/>
      <c r="K47" s="186">
        <v>20</v>
      </c>
      <c r="L47" s="185"/>
      <c r="M47" s="185"/>
      <c r="N47" s="185"/>
      <c r="O47" s="305"/>
      <c r="P47" s="318"/>
      <c r="Q47" s="191"/>
      <c r="R47" s="191"/>
      <c r="S47" s="191"/>
      <c r="T47" s="191"/>
      <c r="U47" s="232"/>
      <c r="V47" s="191"/>
      <c r="W47" s="192"/>
      <c r="X47" s="191"/>
      <c r="Y47" s="191"/>
      <c r="Z47" s="191"/>
      <c r="AA47" s="319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170" customFormat="1" ht="12" customHeight="1" x14ac:dyDescent="0.25">
      <c r="A48" s="273">
        <v>44804</v>
      </c>
      <c r="B48" s="231" t="s">
        <v>563</v>
      </c>
      <c r="C48" s="274" t="s">
        <v>145</v>
      </c>
      <c r="D48" s="285"/>
      <c r="E48" s="218"/>
      <c r="F48" s="219">
        <v>5</v>
      </c>
      <c r="G48" s="286"/>
      <c r="H48" s="304"/>
      <c r="I48" s="185"/>
      <c r="J48" s="185"/>
      <c r="K48" s="186">
        <v>5</v>
      </c>
      <c r="L48" s="185"/>
      <c r="M48" s="185"/>
      <c r="N48" s="185"/>
      <c r="O48" s="305"/>
      <c r="P48" s="318"/>
      <c r="Q48" s="191"/>
      <c r="R48" s="191"/>
      <c r="S48" s="191"/>
      <c r="T48" s="191"/>
      <c r="U48" s="232"/>
      <c r="V48" s="191"/>
      <c r="W48" s="192"/>
      <c r="X48" s="191"/>
      <c r="Y48" s="191"/>
      <c r="Z48" s="191"/>
      <c r="AA48" s="319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170" customFormat="1" ht="12" customHeight="1" x14ac:dyDescent="0.25">
      <c r="A49" s="273">
        <v>44804</v>
      </c>
      <c r="B49" s="231" t="s">
        <v>561</v>
      </c>
      <c r="C49" s="274" t="s">
        <v>145</v>
      </c>
      <c r="D49" s="285"/>
      <c r="E49" s="218"/>
      <c r="F49" s="219">
        <v>6</v>
      </c>
      <c r="G49" s="286"/>
      <c r="H49" s="304"/>
      <c r="I49" s="185"/>
      <c r="J49" s="185"/>
      <c r="K49" s="186">
        <v>6</v>
      </c>
      <c r="L49" s="185"/>
      <c r="M49" s="185"/>
      <c r="N49" s="185"/>
      <c r="O49" s="305"/>
      <c r="P49" s="318"/>
      <c r="Q49" s="191"/>
      <c r="R49" s="191"/>
      <c r="S49" s="191"/>
      <c r="T49" s="191"/>
      <c r="U49" s="232"/>
      <c r="V49" s="191"/>
      <c r="W49" s="192"/>
      <c r="X49" s="191"/>
      <c r="Y49" s="191"/>
      <c r="Z49" s="191"/>
      <c r="AA49" s="319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44804</v>
      </c>
      <c r="B50" s="231" t="s">
        <v>564</v>
      </c>
      <c r="C50" s="274" t="s">
        <v>145</v>
      </c>
      <c r="D50" s="285">
        <v>448.15</v>
      </c>
      <c r="E50" s="218"/>
      <c r="F50" s="219"/>
      <c r="G50" s="286">
        <v>448.15</v>
      </c>
      <c r="H50" s="304"/>
      <c r="I50" s="185"/>
      <c r="J50" s="185"/>
      <c r="K50" s="186"/>
      <c r="L50" s="185"/>
      <c r="M50" s="185"/>
      <c r="N50" s="185"/>
      <c r="O50" s="305"/>
      <c r="P50" s="318"/>
      <c r="Q50" s="191"/>
      <c r="R50" s="191"/>
      <c r="S50" s="191"/>
      <c r="T50" s="191"/>
      <c r="U50" s="232"/>
      <c r="V50" s="191"/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9" customFormat="1" ht="11" thickBot="1" x14ac:dyDescent="0.3">
      <c r="A51" s="277" t="s">
        <v>25</v>
      </c>
      <c r="B51" s="278"/>
      <c r="C51" s="279"/>
      <c r="D51" s="289">
        <f t="shared" ref="D51:AA51" si="0">SUM(D6:D50)</f>
        <v>2725.5</v>
      </c>
      <c r="E51" s="290">
        <f t="shared" si="0"/>
        <v>409.66000000000008</v>
      </c>
      <c r="F51" s="291">
        <f t="shared" si="0"/>
        <v>884.5</v>
      </c>
      <c r="G51" s="292">
        <f t="shared" si="0"/>
        <v>886.2</v>
      </c>
      <c r="H51" s="289">
        <f t="shared" si="0"/>
        <v>0</v>
      </c>
      <c r="I51" s="290">
        <f t="shared" si="0"/>
        <v>1609.6499999999999</v>
      </c>
      <c r="J51" s="290">
        <f t="shared" si="0"/>
        <v>0</v>
      </c>
      <c r="K51" s="290">
        <f t="shared" si="0"/>
        <v>1133</v>
      </c>
      <c r="L51" s="290">
        <f t="shared" si="0"/>
        <v>0</v>
      </c>
      <c r="M51" s="290">
        <f t="shared" si="0"/>
        <v>0</v>
      </c>
      <c r="N51" s="290">
        <f t="shared" si="0"/>
        <v>0</v>
      </c>
      <c r="O51" s="308">
        <f t="shared" si="0"/>
        <v>0</v>
      </c>
      <c r="P51" s="322">
        <f t="shared" si="0"/>
        <v>82.59</v>
      </c>
      <c r="Q51" s="323">
        <f t="shared" si="0"/>
        <v>18.850000000000001</v>
      </c>
      <c r="R51" s="323">
        <f t="shared" si="0"/>
        <v>0</v>
      </c>
      <c r="S51" s="323">
        <f t="shared" si="0"/>
        <v>53.84</v>
      </c>
      <c r="T51" s="323">
        <f t="shared" si="0"/>
        <v>0</v>
      </c>
      <c r="U51" s="323">
        <f t="shared" si="0"/>
        <v>0</v>
      </c>
      <c r="V51" s="323">
        <f t="shared" si="0"/>
        <v>262.79000000000002</v>
      </c>
      <c r="W51" s="323">
        <f t="shared" si="0"/>
        <v>10.44</v>
      </c>
      <c r="X51" s="323">
        <f t="shared" si="0"/>
        <v>0</v>
      </c>
      <c r="Y51" s="323">
        <f t="shared" si="0"/>
        <v>0</v>
      </c>
      <c r="Z51" s="323">
        <f t="shared" si="0"/>
        <v>0</v>
      </c>
      <c r="AA51" s="324">
        <f t="shared" si="0"/>
        <v>0</v>
      </c>
      <c r="AB51" s="37"/>
      <c r="AC51" s="37"/>
      <c r="AD51" s="37"/>
      <c r="AE51" s="37"/>
      <c r="AF51" s="37"/>
      <c r="AG51" s="37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38" customFormat="1" ht="11.5" thickTop="1" thickBot="1" x14ac:dyDescent="0.3">
      <c r="A52" s="326"/>
      <c r="B52" s="327"/>
      <c r="C52" s="328"/>
      <c r="D52" s="336"/>
      <c r="E52" s="337"/>
      <c r="F52" s="338"/>
      <c r="G52" s="339"/>
      <c r="H52" s="353"/>
      <c r="I52" s="338"/>
      <c r="J52" s="338"/>
      <c r="K52" s="354"/>
      <c r="L52" s="338"/>
      <c r="M52" s="338"/>
      <c r="N52" s="355"/>
      <c r="O52" s="339"/>
      <c r="P52" s="372"/>
      <c r="Q52" s="373"/>
      <c r="R52" s="373"/>
      <c r="S52" s="373"/>
      <c r="T52" s="374"/>
      <c r="U52" s="373"/>
      <c r="V52" s="373"/>
      <c r="W52" s="375"/>
      <c r="X52" s="376"/>
      <c r="Y52" s="376"/>
      <c r="Z52" s="376"/>
      <c r="AA52" s="377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</row>
    <row r="53" spans="1:115" s="6" customFormat="1" ht="53.5" thickTop="1" thickBot="1" x14ac:dyDescent="0.3">
      <c r="A53" s="329" t="s">
        <v>1</v>
      </c>
      <c r="B53" s="12" t="s">
        <v>2</v>
      </c>
      <c r="C53" s="330"/>
      <c r="D53" s="340" t="s">
        <v>3</v>
      </c>
      <c r="E53" s="233"/>
      <c r="F53" s="233" t="s">
        <v>4</v>
      </c>
      <c r="G53" s="341"/>
      <c r="H53" s="356" t="s">
        <v>5</v>
      </c>
      <c r="I53" s="13" t="s">
        <v>6</v>
      </c>
      <c r="J53" s="13" t="s">
        <v>7</v>
      </c>
      <c r="K53" s="14" t="s">
        <v>8</v>
      </c>
      <c r="L53" s="15" t="s">
        <v>9</v>
      </c>
      <c r="M53" s="14" t="s">
        <v>10</v>
      </c>
      <c r="N53" s="14" t="s">
        <v>11</v>
      </c>
      <c r="O53" s="357" t="s">
        <v>12</v>
      </c>
      <c r="P53" s="293" t="s">
        <v>13</v>
      </c>
      <c r="Q53" s="297" t="s">
        <v>98</v>
      </c>
      <c r="R53" s="309" t="s">
        <v>14</v>
      </c>
      <c r="S53" s="310" t="s">
        <v>15</v>
      </c>
      <c r="T53" s="311" t="s">
        <v>16</v>
      </c>
      <c r="U53" s="297" t="s">
        <v>17</v>
      </c>
      <c r="V53" s="297" t="s">
        <v>18</v>
      </c>
      <c r="W53" s="294" t="s">
        <v>63</v>
      </c>
      <c r="X53" s="312" t="s">
        <v>19</v>
      </c>
      <c r="Y53" s="297" t="s">
        <v>65</v>
      </c>
      <c r="Z53" s="297" t="s">
        <v>102</v>
      </c>
      <c r="AA53" s="298" t="s">
        <v>104</v>
      </c>
    </row>
    <row r="54" spans="1:115" s="6" customFormat="1" ht="11" thickBot="1" x14ac:dyDescent="0.3">
      <c r="A54" s="331"/>
      <c r="B54" s="16"/>
      <c r="C54" s="332"/>
      <c r="D54" s="342" t="s">
        <v>22</v>
      </c>
      <c r="E54" s="39" t="s">
        <v>23</v>
      </c>
      <c r="F54" s="16" t="s">
        <v>22</v>
      </c>
      <c r="G54" s="343" t="s">
        <v>23</v>
      </c>
      <c r="H54" s="331" t="s">
        <v>22</v>
      </c>
      <c r="I54" s="16" t="s">
        <v>22</v>
      </c>
      <c r="J54" s="16" t="s">
        <v>22</v>
      </c>
      <c r="K54" s="17" t="s">
        <v>22</v>
      </c>
      <c r="L54" s="18" t="s">
        <v>22</v>
      </c>
      <c r="M54" s="19" t="s">
        <v>22</v>
      </c>
      <c r="N54" s="20"/>
      <c r="O54" s="358" t="s">
        <v>22</v>
      </c>
      <c r="P54" s="331" t="s">
        <v>23</v>
      </c>
      <c r="Q54" s="16" t="s">
        <v>23</v>
      </c>
      <c r="R54" s="18" t="s">
        <v>23</v>
      </c>
      <c r="S54" s="18" t="s">
        <v>23</v>
      </c>
      <c r="T54" s="16" t="s">
        <v>23</v>
      </c>
      <c r="U54" s="16" t="s">
        <v>23</v>
      </c>
      <c r="V54" s="16" t="s">
        <v>23</v>
      </c>
      <c r="W54" s="19" t="s">
        <v>23</v>
      </c>
      <c r="X54" s="16" t="s">
        <v>23</v>
      </c>
      <c r="Y54" s="16" t="s">
        <v>23</v>
      </c>
      <c r="Z54" s="16" t="s">
        <v>23</v>
      </c>
      <c r="AA54" s="378" t="s">
        <v>23</v>
      </c>
    </row>
    <row r="55" spans="1:115" s="21" customFormat="1" ht="11" thickBot="1" x14ac:dyDescent="0.3">
      <c r="A55" s="333"/>
      <c r="B55" s="334"/>
      <c r="C55" s="335"/>
      <c r="D55" s="344">
        <f t="shared" ref="D55:AA55" si="1">SUM(D5:D50)</f>
        <v>14240.46000000001</v>
      </c>
      <c r="E55" s="345">
        <f t="shared" si="1"/>
        <v>409.66000000000008</v>
      </c>
      <c r="F55" s="345">
        <f t="shared" si="1"/>
        <v>956.80000000000007</v>
      </c>
      <c r="G55" s="346">
        <f t="shared" si="1"/>
        <v>886.2</v>
      </c>
      <c r="H55" s="359">
        <f t="shared" si="1"/>
        <v>0</v>
      </c>
      <c r="I55" s="360">
        <f t="shared" si="1"/>
        <v>1609.6499999999999</v>
      </c>
      <c r="J55" s="360">
        <f t="shared" si="1"/>
        <v>0</v>
      </c>
      <c r="K55" s="360">
        <f t="shared" si="1"/>
        <v>1133</v>
      </c>
      <c r="L55" s="360">
        <f t="shared" si="1"/>
        <v>0</v>
      </c>
      <c r="M55" s="360">
        <f t="shared" si="1"/>
        <v>0</v>
      </c>
      <c r="N55" s="360">
        <f t="shared" si="1"/>
        <v>0</v>
      </c>
      <c r="O55" s="361">
        <f t="shared" si="1"/>
        <v>11587.260000000009</v>
      </c>
      <c r="P55" s="359">
        <f t="shared" si="1"/>
        <v>82.59</v>
      </c>
      <c r="Q55" s="360">
        <f t="shared" si="1"/>
        <v>18.850000000000001</v>
      </c>
      <c r="R55" s="360">
        <f t="shared" si="1"/>
        <v>0</v>
      </c>
      <c r="S55" s="360">
        <f t="shared" si="1"/>
        <v>53.84</v>
      </c>
      <c r="T55" s="360">
        <f t="shared" si="1"/>
        <v>0</v>
      </c>
      <c r="U55" s="360">
        <f t="shared" si="1"/>
        <v>0</v>
      </c>
      <c r="V55" s="360">
        <f t="shared" si="1"/>
        <v>262.79000000000002</v>
      </c>
      <c r="W55" s="360">
        <f t="shared" si="1"/>
        <v>10.44</v>
      </c>
      <c r="X55" s="360">
        <f t="shared" si="1"/>
        <v>0</v>
      </c>
      <c r="Y55" s="360">
        <f t="shared" si="1"/>
        <v>0</v>
      </c>
      <c r="Z55" s="360">
        <f t="shared" si="1"/>
        <v>0</v>
      </c>
      <c r="AA55" s="361">
        <f t="shared" si="1"/>
        <v>0</v>
      </c>
    </row>
    <row r="56" spans="1:115" s="6" customFormat="1" ht="11.5" thickTop="1" thickBot="1" x14ac:dyDescent="0.3">
      <c r="A56" s="347"/>
      <c r="B56" s="348" t="s">
        <v>26</v>
      </c>
      <c r="C56" s="349"/>
      <c r="D56" s="350">
        <f>SUM(D55-E55)</f>
        <v>13830.80000000001</v>
      </c>
      <c r="E56" s="351"/>
      <c r="F56" s="350">
        <f>SUM(F55-G55)</f>
        <v>70.600000000000023</v>
      </c>
      <c r="G56" s="352"/>
      <c r="H56" s="363"/>
      <c r="I56" s="379"/>
      <c r="J56" s="379" t="s">
        <v>20</v>
      </c>
      <c r="K56" s="365"/>
      <c r="L56" s="364"/>
      <c r="M56" s="364" t="s">
        <v>20</v>
      </c>
      <c r="N56" s="366"/>
      <c r="O56" s="367" t="s">
        <v>20</v>
      </c>
      <c r="P56" s="363"/>
      <c r="Q56" s="364"/>
      <c r="R56" s="364" t="s">
        <v>20</v>
      </c>
      <c r="S56" s="364" t="s">
        <v>20</v>
      </c>
      <c r="T56" s="364" t="s">
        <v>20</v>
      </c>
      <c r="U56" s="371"/>
      <c r="V56" s="364" t="s">
        <v>20</v>
      </c>
      <c r="W56" s="371"/>
      <c r="X56" s="364" t="s">
        <v>20</v>
      </c>
      <c r="Y56" s="364" t="s">
        <v>20</v>
      </c>
      <c r="Z56" s="364" t="s">
        <v>20</v>
      </c>
      <c r="AA56" s="352" t="s">
        <v>20</v>
      </c>
    </row>
    <row r="57" spans="1:115" s="6" customFormat="1" ht="13.5" thickTop="1" thickBot="1" x14ac:dyDescent="0.3">
      <c r="A57" s="2"/>
      <c r="B57" s="2"/>
      <c r="C57" s="55"/>
      <c r="D57" s="35"/>
      <c r="E57" s="34"/>
      <c r="F57" s="4"/>
      <c r="I57" s="546" t="s">
        <v>27</v>
      </c>
      <c r="J57" s="547"/>
      <c r="K57" s="362">
        <f>SUM(H55:O55)</f>
        <v>14329.910000000009</v>
      </c>
      <c r="O57" s="22"/>
      <c r="P57" s="4"/>
      <c r="Q57" s="6" t="s">
        <v>28</v>
      </c>
      <c r="R57" s="368" t="s">
        <v>20</v>
      </c>
      <c r="S57" s="369">
        <f>SUM(P55:AA55)</f>
        <v>428.51000000000005</v>
      </c>
      <c r="T57" s="370"/>
    </row>
    <row r="58" spans="1:115" s="6" customFormat="1" ht="11" thickBot="1" x14ac:dyDescent="0.3">
      <c r="A58" s="2"/>
      <c r="B58" s="23" t="s">
        <v>29</v>
      </c>
      <c r="C58" s="23"/>
      <c r="D58" s="40" t="s">
        <v>20</v>
      </c>
      <c r="E58" s="193">
        <f>SUM(D55-E55+F55-G55)</f>
        <v>13901.400000000009</v>
      </c>
      <c r="F58" s="25" t="s">
        <v>49</v>
      </c>
      <c r="H58" s="26"/>
      <c r="I58" s="46"/>
      <c r="J58" s="46"/>
      <c r="K58" s="27"/>
      <c r="M58" s="7"/>
      <c r="N58" s="46"/>
      <c r="O58" s="24">
        <f>E55</f>
        <v>409.66000000000008</v>
      </c>
      <c r="P58" s="540">
        <f>SUM(K57-S57)</f>
        <v>13901.400000000009</v>
      </c>
      <c r="Q58" s="540"/>
      <c r="R58" s="541" t="s">
        <v>30</v>
      </c>
      <c r="S58" s="541"/>
      <c r="T58" s="541"/>
    </row>
    <row r="59" spans="1:115" s="6" customFormat="1" ht="10.5" x14ac:dyDescent="0.25">
      <c r="A59" s="1"/>
      <c r="B59" s="2"/>
      <c r="C59" s="55"/>
      <c r="D59" s="28"/>
      <c r="E59" s="34"/>
      <c r="F59" s="4"/>
      <c r="G59" s="3"/>
      <c r="H59" s="3"/>
      <c r="I59" s="3"/>
      <c r="J59" s="3"/>
      <c r="K59" s="5"/>
      <c r="L59" s="3"/>
      <c r="M59" s="3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115" s="6" customFormat="1" x14ac:dyDescent="0.25">
      <c r="A60" s="1"/>
      <c r="B60" s="2"/>
      <c r="C60" s="2"/>
      <c r="D60" s="542" t="s">
        <v>52</v>
      </c>
      <c r="E60" s="543"/>
      <c r="F60" s="194">
        <v>50</v>
      </c>
      <c r="G60" s="197">
        <f>13830.8</f>
        <v>13830.8</v>
      </c>
      <c r="H60" s="52" t="s">
        <v>54</v>
      </c>
      <c r="I60" s="57"/>
      <c r="J60" s="3"/>
      <c r="K60" s="5"/>
      <c r="L60" s="3"/>
      <c r="M60" s="3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115" s="6" customFormat="1" x14ac:dyDescent="0.25">
      <c r="A61" s="1"/>
      <c r="B61" s="2"/>
      <c r="C61" s="2"/>
      <c r="D61" s="544" t="s">
        <v>34</v>
      </c>
      <c r="E61" s="545"/>
      <c r="F61" s="195">
        <f>22.3-1.7</f>
        <v>20.6</v>
      </c>
      <c r="G61" s="197">
        <f>D56</f>
        <v>13830.80000000001</v>
      </c>
      <c r="H61" s="52" t="s">
        <v>60</v>
      </c>
      <c r="I61" s="57"/>
      <c r="J61" s="3"/>
      <c r="K61" s="5"/>
      <c r="L61" s="3"/>
      <c r="M61" s="3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115" s="6" customFormat="1" x14ac:dyDescent="0.25">
      <c r="A62" s="1"/>
      <c r="B62" s="2"/>
      <c r="C62" s="2"/>
      <c r="D62" s="544" t="s">
        <v>85</v>
      </c>
      <c r="E62" s="545"/>
      <c r="F62" s="194">
        <f>0</f>
        <v>0</v>
      </c>
      <c r="G62" s="198">
        <f>G60-G61</f>
        <v>0</v>
      </c>
      <c r="H62" s="53" t="s">
        <v>50</v>
      </c>
      <c r="I62" s="3"/>
      <c r="J62" s="3"/>
      <c r="K62" s="5"/>
      <c r="L62" s="3"/>
      <c r="M62" s="3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115" s="6" customFormat="1" x14ac:dyDescent="0.25">
      <c r="A63" s="1"/>
      <c r="B63" s="2"/>
      <c r="C63" s="2"/>
      <c r="D63" s="533" t="s">
        <v>50</v>
      </c>
      <c r="E63" s="534"/>
      <c r="F63" s="196">
        <f>F60+F61+F62-F56</f>
        <v>0</v>
      </c>
      <c r="G63" s="84"/>
      <c r="H63" s="85"/>
      <c r="I63" s="3"/>
      <c r="J63" s="3"/>
      <c r="K63" s="5"/>
      <c r="L63" s="3"/>
      <c r="M63" s="3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</sheetData>
  <sheetProtection selectLockedCells="1" selectUnlockedCells="1"/>
  <mergeCells count="10">
    <mergeCell ref="R58:T58"/>
    <mergeCell ref="D60:E60"/>
    <mergeCell ref="D61:E61"/>
    <mergeCell ref="D62:E62"/>
    <mergeCell ref="I57:J57"/>
    <mergeCell ref="A1:B1"/>
    <mergeCell ref="D3:E3"/>
    <mergeCell ref="F3:G3"/>
    <mergeCell ref="D63:E63"/>
    <mergeCell ref="P58:Q58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1142"/>
  <sheetViews>
    <sheetView showGridLines="0" topLeftCell="A12" workbookViewId="0">
      <selection activeCell="A40" sqref="A40:XFD40"/>
    </sheetView>
  </sheetViews>
  <sheetFormatPr baseColWidth="10" defaultColWidth="10.81640625" defaultRowHeight="10.5" x14ac:dyDescent="0.25"/>
  <cols>
    <col min="1" max="1" width="10.81640625" style="58"/>
    <col min="2" max="2" width="31.179687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10">
        <v>44814</v>
      </c>
      <c r="B2" s="56" t="s">
        <v>572</v>
      </c>
      <c r="C2" s="205"/>
      <c r="D2" s="204">
        <v>47.5</v>
      </c>
      <c r="E2" s="204"/>
      <c r="F2" s="204">
        <f t="shared" ref="F2:F16" si="0">SUM(C2:E2)</f>
        <v>47.5</v>
      </c>
      <c r="G2" s="211" t="s">
        <v>145</v>
      </c>
    </row>
    <row r="3" spans="1:35" ht="13" x14ac:dyDescent="0.3">
      <c r="A3" s="210">
        <v>44814</v>
      </c>
      <c r="B3" s="56" t="s">
        <v>573</v>
      </c>
      <c r="C3" s="205"/>
      <c r="D3" s="204"/>
      <c r="E3" s="204">
        <v>15</v>
      </c>
      <c r="F3" s="204">
        <f>SUM(C3:E3)</f>
        <v>15</v>
      </c>
      <c r="G3" s="211" t="s">
        <v>145</v>
      </c>
    </row>
    <row r="4" spans="1:35" ht="13" x14ac:dyDescent="0.3">
      <c r="A4" s="210">
        <v>44814</v>
      </c>
      <c r="B4" s="56" t="s">
        <v>574</v>
      </c>
      <c r="C4" s="205"/>
      <c r="D4" s="204"/>
      <c r="E4" s="204">
        <v>31.5</v>
      </c>
      <c r="F4" s="202">
        <f t="shared" si="0"/>
        <v>31.5</v>
      </c>
      <c r="G4" s="211" t="s">
        <v>145</v>
      </c>
    </row>
    <row r="5" spans="1:35" ht="13" x14ac:dyDescent="0.3">
      <c r="A5" s="210">
        <v>44814</v>
      </c>
      <c r="B5" s="56" t="s">
        <v>575</v>
      </c>
      <c r="C5" s="205"/>
      <c r="D5" s="204">
        <v>16</v>
      </c>
      <c r="E5" s="204"/>
      <c r="F5" s="202">
        <f t="shared" si="0"/>
        <v>16</v>
      </c>
      <c r="G5" s="211" t="s">
        <v>145</v>
      </c>
    </row>
    <row r="6" spans="1:35" ht="13" x14ac:dyDescent="0.3">
      <c r="A6" s="210">
        <v>44814</v>
      </c>
      <c r="B6" s="56" t="s">
        <v>576</v>
      </c>
      <c r="C6" s="205"/>
      <c r="D6" s="204"/>
      <c r="E6" s="204">
        <v>36.5</v>
      </c>
      <c r="F6" s="202">
        <f t="shared" si="0"/>
        <v>36.5</v>
      </c>
      <c r="G6" s="211" t="s">
        <v>145</v>
      </c>
    </row>
    <row r="7" spans="1:35" ht="13" x14ac:dyDescent="0.3">
      <c r="A7" s="210">
        <v>44814</v>
      </c>
      <c r="B7" s="56" t="s">
        <v>577</v>
      </c>
      <c r="C7" s="205"/>
      <c r="D7" s="204">
        <v>27.5</v>
      </c>
      <c r="E7" s="204"/>
      <c r="F7" s="202">
        <f t="shared" si="0"/>
        <v>27.5</v>
      </c>
      <c r="G7" s="211" t="s">
        <v>145</v>
      </c>
    </row>
    <row r="8" spans="1:35" ht="13" x14ac:dyDescent="0.3">
      <c r="A8" s="210">
        <v>44814</v>
      </c>
      <c r="B8" s="56" t="s">
        <v>578</v>
      </c>
      <c r="C8" s="205"/>
      <c r="D8" s="204">
        <v>30</v>
      </c>
      <c r="E8" s="204"/>
      <c r="F8" s="202">
        <f t="shared" si="0"/>
        <v>30</v>
      </c>
      <c r="G8" s="211" t="s">
        <v>145</v>
      </c>
    </row>
    <row r="9" spans="1:35" ht="13" x14ac:dyDescent="0.3">
      <c r="A9" s="210">
        <v>44814</v>
      </c>
      <c r="B9" s="56" t="s">
        <v>579</v>
      </c>
      <c r="C9" s="205"/>
      <c r="D9" s="204">
        <v>87.5</v>
      </c>
      <c r="E9" s="205"/>
      <c r="F9" s="202">
        <f t="shared" si="0"/>
        <v>87.5</v>
      </c>
      <c r="G9" s="211" t="s">
        <v>145</v>
      </c>
    </row>
    <row r="10" spans="1:35" s="162" customFormat="1" ht="13" x14ac:dyDescent="0.3">
      <c r="A10" s="210">
        <v>44814</v>
      </c>
      <c r="B10" s="56" t="s">
        <v>580</v>
      </c>
      <c r="C10" s="205"/>
      <c r="D10" s="200"/>
      <c r="E10" s="204">
        <v>182.5</v>
      </c>
      <c r="F10" s="202">
        <f t="shared" si="0"/>
        <v>182.5</v>
      </c>
      <c r="G10" s="211" t="s">
        <v>145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" customFormat="1" ht="13" x14ac:dyDescent="0.3">
      <c r="A11" s="210">
        <v>44814</v>
      </c>
      <c r="B11" s="56" t="s">
        <v>581</v>
      </c>
      <c r="C11" s="205"/>
      <c r="D11" s="200"/>
      <c r="E11" s="204">
        <v>36</v>
      </c>
      <c r="F11" s="202">
        <f t="shared" si="0"/>
        <v>36</v>
      </c>
      <c r="G11" s="211" t="s">
        <v>145</v>
      </c>
    </row>
    <row r="12" spans="1:35" s="3" customFormat="1" ht="13" x14ac:dyDescent="0.3">
      <c r="A12" s="210">
        <v>44821</v>
      </c>
      <c r="B12" s="56" t="s">
        <v>586</v>
      </c>
      <c r="C12" s="205"/>
      <c r="D12" s="200"/>
      <c r="E12" s="204">
        <v>78.2</v>
      </c>
      <c r="F12" s="202">
        <f t="shared" si="0"/>
        <v>78.2</v>
      </c>
      <c r="G12" s="211" t="s">
        <v>145</v>
      </c>
    </row>
    <row r="13" spans="1:35" s="3" customFormat="1" ht="13" x14ac:dyDescent="0.3">
      <c r="A13" s="210">
        <v>44821</v>
      </c>
      <c r="B13" s="56" t="s">
        <v>587</v>
      </c>
      <c r="C13" s="205"/>
      <c r="D13" s="200"/>
      <c r="E13" s="204">
        <v>90</v>
      </c>
      <c r="F13" s="202">
        <f t="shared" si="0"/>
        <v>90</v>
      </c>
      <c r="G13" s="211" t="s">
        <v>145</v>
      </c>
    </row>
    <row r="14" spans="1:35" s="3" customFormat="1" ht="13" x14ac:dyDescent="0.3">
      <c r="A14" s="210">
        <v>44821</v>
      </c>
      <c r="B14" s="56" t="s">
        <v>588</v>
      </c>
      <c r="C14" s="205"/>
      <c r="D14" s="200"/>
      <c r="E14" s="204">
        <v>2.2000000000000002</v>
      </c>
      <c r="F14" s="202">
        <f t="shared" si="0"/>
        <v>2.2000000000000002</v>
      </c>
      <c r="G14" s="211" t="s">
        <v>145</v>
      </c>
    </row>
    <row r="15" spans="1:35" s="3" customFormat="1" ht="13" x14ac:dyDescent="0.3">
      <c r="A15" s="210">
        <v>44821</v>
      </c>
      <c r="B15" s="56" t="s">
        <v>589</v>
      </c>
      <c r="C15" s="205"/>
      <c r="D15" s="200"/>
      <c r="E15" s="204">
        <v>18</v>
      </c>
      <c r="F15" s="202">
        <f t="shared" si="0"/>
        <v>18</v>
      </c>
      <c r="G15" s="211" t="s">
        <v>145</v>
      </c>
    </row>
    <row r="16" spans="1:35" s="3" customFormat="1" ht="13" x14ac:dyDescent="0.3">
      <c r="A16" s="210">
        <v>44821</v>
      </c>
      <c r="B16" s="56" t="s">
        <v>590</v>
      </c>
      <c r="C16" s="205"/>
      <c r="D16" s="200">
        <v>96.9</v>
      </c>
      <c r="E16" s="204"/>
      <c r="F16" s="202">
        <f t="shared" si="0"/>
        <v>96.9</v>
      </c>
      <c r="G16" s="211" t="s">
        <v>145</v>
      </c>
    </row>
    <row r="17" spans="1:7" s="3" customFormat="1" ht="13" x14ac:dyDescent="0.3">
      <c r="A17" s="210">
        <v>44821</v>
      </c>
      <c r="B17" s="56" t="s">
        <v>591</v>
      </c>
      <c r="C17" s="205"/>
      <c r="D17" s="200"/>
      <c r="E17" s="204">
        <v>70.5</v>
      </c>
      <c r="F17" s="202">
        <f t="shared" ref="F17:F25" si="1">SUM(C17:E17)</f>
        <v>70.5</v>
      </c>
      <c r="G17" s="211" t="s">
        <v>145</v>
      </c>
    </row>
    <row r="18" spans="1:7" s="3" customFormat="1" ht="13" x14ac:dyDescent="0.3">
      <c r="A18" s="210">
        <v>44821</v>
      </c>
      <c r="B18" s="56" t="s">
        <v>592</v>
      </c>
      <c r="C18" s="205"/>
      <c r="D18" s="200"/>
      <c r="E18" s="204">
        <v>102</v>
      </c>
      <c r="F18" s="202">
        <f t="shared" si="1"/>
        <v>102</v>
      </c>
      <c r="G18" s="211" t="s">
        <v>145</v>
      </c>
    </row>
    <row r="19" spans="1:7" s="3" customFormat="1" ht="13" x14ac:dyDescent="0.3">
      <c r="A19" s="210">
        <v>44821</v>
      </c>
      <c r="B19" s="56" t="s">
        <v>593</v>
      </c>
      <c r="C19" s="205"/>
      <c r="D19" s="200"/>
      <c r="E19" s="204">
        <v>32</v>
      </c>
      <c r="F19" s="202">
        <f t="shared" si="1"/>
        <v>32</v>
      </c>
      <c r="G19" s="211" t="s">
        <v>145</v>
      </c>
    </row>
    <row r="20" spans="1:7" s="3" customFormat="1" ht="13" x14ac:dyDescent="0.3">
      <c r="A20" s="210">
        <v>44821</v>
      </c>
      <c r="B20" s="56" t="s">
        <v>594</v>
      </c>
      <c r="C20" s="205"/>
      <c r="D20" s="200"/>
      <c r="E20" s="204">
        <v>11</v>
      </c>
      <c r="F20" s="202">
        <f t="shared" si="1"/>
        <v>11</v>
      </c>
      <c r="G20" s="211" t="s">
        <v>145</v>
      </c>
    </row>
    <row r="21" spans="1:7" s="3" customFormat="1" ht="13" x14ac:dyDescent="0.3">
      <c r="A21" s="210">
        <v>44821</v>
      </c>
      <c r="B21" s="56" t="s">
        <v>595</v>
      </c>
      <c r="C21" s="205"/>
      <c r="D21" s="200"/>
      <c r="E21" s="204">
        <v>108</v>
      </c>
      <c r="F21" s="202">
        <f t="shared" si="1"/>
        <v>108</v>
      </c>
      <c r="G21" s="211" t="s">
        <v>145</v>
      </c>
    </row>
    <row r="22" spans="1:7" s="3" customFormat="1" ht="13" x14ac:dyDescent="0.3">
      <c r="A22" s="210">
        <v>44828</v>
      </c>
      <c r="B22" s="56" t="s">
        <v>604</v>
      </c>
      <c r="C22" s="205"/>
      <c r="D22" s="200"/>
      <c r="E22" s="204">
        <v>22.6</v>
      </c>
      <c r="F22" s="202">
        <f t="shared" si="1"/>
        <v>22.6</v>
      </c>
      <c r="G22" s="211" t="s">
        <v>145</v>
      </c>
    </row>
    <row r="23" spans="1:7" s="3" customFormat="1" ht="13" x14ac:dyDescent="0.3">
      <c r="A23" s="210">
        <v>44828</v>
      </c>
      <c r="B23" s="56" t="s">
        <v>605</v>
      </c>
      <c r="C23" s="205"/>
      <c r="D23" s="200"/>
      <c r="E23" s="204">
        <v>38</v>
      </c>
      <c r="F23" s="202">
        <f t="shared" si="1"/>
        <v>38</v>
      </c>
      <c r="G23" s="211" t="s">
        <v>145</v>
      </c>
    </row>
    <row r="24" spans="1:7" s="3" customFormat="1" ht="13" x14ac:dyDescent="0.3">
      <c r="A24" s="210">
        <v>44828</v>
      </c>
      <c r="B24" s="56" t="s">
        <v>606</v>
      </c>
      <c r="C24" s="205"/>
      <c r="D24" s="200">
        <v>44</v>
      </c>
      <c r="E24" s="204"/>
      <c r="F24" s="202">
        <f t="shared" si="1"/>
        <v>44</v>
      </c>
      <c r="G24" s="211" t="s">
        <v>145</v>
      </c>
    </row>
    <row r="25" spans="1:7" s="3" customFormat="1" ht="13" x14ac:dyDescent="0.3">
      <c r="A25" s="210">
        <v>44828</v>
      </c>
      <c r="B25" s="56" t="s">
        <v>607</v>
      </c>
      <c r="C25" s="205"/>
      <c r="D25" s="200"/>
      <c r="E25" s="204">
        <v>51</v>
      </c>
      <c r="F25" s="202">
        <f t="shared" si="1"/>
        <v>51</v>
      </c>
      <c r="G25" s="211" t="s">
        <v>145</v>
      </c>
    </row>
    <row r="26" spans="1:7" s="3" customFormat="1" ht="13" x14ac:dyDescent="0.3">
      <c r="A26" s="210">
        <v>44828</v>
      </c>
      <c r="B26" s="56" t="s">
        <v>608</v>
      </c>
      <c r="C26" s="205"/>
      <c r="D26" s="200"/>
      <c r="E26" s="204">
        <v>52</v>
      </c>
      <c r="F26" s="202">
        <f t="shared" ref="F26:F32" si="2">SUM(C26:E26)</f>
        <v>52</v>
      </c>
      <c r="G26" s="211" t="s">
        <v>145</v>
      </c>
    </row>
    <row r="27" spans="1:7" s="3" customFormat="1" ht="13" x14ac:dyDescent="0.3">
      <c r="A27" s="210">
        <v>44828</v>
      </c>
      <c r="B27" s="56" t="s">
        <v>604</v>
      </c>
      <c r="C27" s="205"/>
      <c r="D27" s="200"/>
      <c r="E27" s="204">
        <v>6</v>
      </c>
      <c r="F27" s="202">
        <f t="shared" si="2"/>
        <v>6</v>
      </c>
      <c r="G27" s="211" t="s">
        <v>145</v>
      </c>
    </row>
    <row r="28" spans="1:7" s="3" customFormat="1" ht="13" x14ac:dyDescent="0.3">
      <c r="A28" s="210">
        <v>44828</v>
      </c>
      <c r="B28" s="56" t="s">
        <v>609</v>
      </c>
      <c r="C28" s="205"/>
      <c r="D28" s="200">
        <v>52</v>
      </c>
      <c r="E28" s="204"/>
      <c r="F28" s="202">
        <f t="shared" si="2"/>
        <v>52</v>
      </c>
      <c r="G28" s="211" t="s">
        <v>145</v>
      </c>
    </row>
    <row r="29" spans="1:7" s="3" customFormat="1" ht="13" x14ac:dyDescent="0.3">
      <c r="A29" s="210">
        <v>44828</v>
      </c>
      <c r="B29" s="56" t="s">
        <v>600</v>
      </c>
      <c r="C29" s="205"/>
      <c r="D29" s="200">
        <v>121</v>
      </c>
      <c r="E29" s="204"/>
      <c r="F29" s="202">
        <f t="shared" si="2"/>
        <v>121</v>
      </c>
      <c r="G29" s="211" t="s">
        <v>145</v>
      </c>
    </row>
    <row r="30" spans="1:7" s="3" customFormat="1" ht="13" x14ac:dyDescent="0.3">
      <c r="A30" s="210">
        <v>44828</v>
      </c>
      <c r="B30" s="56" t="s">
        <v>601</v>
      </c>
      <c r="C30" s="205"/>
      <c r="D30" s="200"/>
      <c r="E30" s="204">
        <v>48</v>
      </c>
      <c r="F30" s="202">
        <f t="shared" si="2"/>
        <v>48</v>
      </c>
      <c r="G30" s="211" t="s">
        <v>145</v>
      </c>
    </row>
    <row r="31" spans="1:7" s="3" customFormat="1" ht="13" x14ac:dyDescent="0.3">
      <c r="A31" s="210">
        <v>44828</v>
      </c>
      <c r="B31" s="56" t="s">
        <v>602</v>
      </c>
      <c r="C31" s="205"/>
      <c r="D31" s="200"/>
      <c r="E31" s="204">
        <v>302</v>
      </c>
      <c r="F31" s="202">
        <f t="shared" si="2"/>
        <v>302</v>
      </c>
      <c r="G31" s="211" t="s">
        <v>145</v>
      </c>
    </row>
    <row r="32" spans="1:7" s="3" customFormat="1" ht="13" x14ac:dyDescent="0.3">
      <c r="A32" s="210">
        <v>44828</v>
      </c>
      <c r="B32" s="56" t="s">
        <v>603</v>
      </c>
      <c r="C32" s="205"/>
      <c r="D32" s="200"/>
      <c r="E32" s="204">
        <v>28</v>
      </c>
      <c r="F32" s="202">
        <f t="shared" si="2"/>
        <v>28</v>
      </c>
      <c r="G32" s="211" t="s">
        <v>145</v>
      </c>
    </row>
    <row r="33" spans="1:7" s="3" customFormat="1" ht="13" x14ac:dyDescent="0.3">
      <c r="A33" s="210">
        <v>44834</v>
      </c>
      <c r="B33" s="56" t="s">
        <v>610</v>
      </c>
      <c r="C33" s="205"/>
      <c r="D33" s="200">
        <v>105</v>
      </c>
      <c r="E33" s="204"/>
      <c r="F33" s="202">
        <f t="shared" ref="F33:F36" si="3">SUM(C33:E33)</f>
        <v>105</v>
      </c>
      <c r="G33" s="211" t="s">
        <v>145</v>
      </c>
    </row>
    <row r="34" spans="1:7" s="3" customFormat="1" ht="13" x14ac:dyDescent="0.3">
      <c r="A34" s="210">
        <v>44834</v>
      </c>
      <c r="B34" s="56" t="s">
        <v>611</v>
      </c>
      <c r="C34" s="205"/>
      <c r="D34" s="200">
        <v>17.5</v>
      </c>
      <c r="E34" s="204"/>
      <c r="F34" s="202">
        <f t="shared" si="3"/>
        <v>17.5</v>
      </c>
      <c r="G34" s="211" t="s">
        <v>145</v>
      </c>
    </row>
    <row r="35" spans="1:7" s="3" customFormat="1" ht="13" x14ac:dyDescent="0.3">
      <c r="A35" s="210">
        <v>44834</v>
      </c>
      <c r="B35" s="56" t="s">
        <v>612</v>
      </c>
      <c r="C35" s="205"/>
      <c r="D35" s="200"/>
      <c r="E35" s="204">
        <v>8.5</v>
      </c>
      <c r="F35" s="202">
        <f t="shared" si="3"/>
        <v>8.5</v>
      </c>
      <c r="G35" s="211" t="s">
        <v>145</v>
      </c>
    </row>
    <row r="36" spans="1:7" s="3" customFormat="1" ht="13" x14ac:dyDescent="0.3">
      <c r="A36" s="210">
        <v>44834</v>
      </c>
      <c r="B36" s="56" t="s">
        <v>613</v>
      </c>
      <c r="C36" s="205"/>
      <c r="D36" s="200"/>
      <c r="E36" s="204">
        <v>2</v>
      </c>
      <c r="F36" s="202">
        <f t="shared" si="3"/>
        <v>2</v>
      </c>
      <c r="G36" s="211" t="s">
        <v>145</v>
      </c>
    </row>
    <row r="37" spans="1:7" s="3" customFormat="1" ht="13" x14ac:dyDescent="0.3">
      <c r="A37" s="210">
        <v>44834</v>
      </c>
      <c r="B37" s="56" t="s">
        <v>614</v>
      </c>
      <c r="C37" s="205"/>
      <c r="D37" s="200">
        <v>15</v>
      </c>
      <c r="E37" s="204"/>
      <c r="F37" s="202">
        <f t="shared" ref="F37:F39" si="4">SUM(C37:E37)</f>
        <v>15</v>
      </c>
      <c r="G37" s="211" t="s">
        <v>145</v>
      </c>
    </row>
    <row r="38" spans="1:7" s="3" customFormat="1" ht="13" x14ac:dyDescent="0.3">
      <c r="A38" s="210">
        <v>44834</v>
      </c>
      <c r="B38" s="56" t="s">
        <v>615</v>
      </c>
      <c r="C38" s="205"/>
      <c r="D38" s="200"/>
      <c r="E38" s="204">
        <v>29</v>
      </c>
      <c r="F38" s="202">
        <f t="shared" si="4"/>
        <v>29</v>
      </c>
      <c r="G38" s="211" t="s">
        <v>145</v>
      </c>
    </row>
    <row r="39" spans="1:7" s="3" customFormat="1" ht="13" x14ac:dyDescent="0.3">
      <c r="A39" s="210">
        <v>44834</v>
      </c>
      <c r="B39" s="56" t="s">
        <v>616</v>
      </c>
      <c r="C39" s="205"/>
      <c r="D39" s="200">
        <v>59.5</v>
      </c>
      <c r="E39" s="204"/>
      <c r="F39" s="202">
        <f t="shared" si="4"/>
        <v>59.5</v>
      </c>
      <c r="G39" s="211" t="s">
        <v>145</v>
      </c>
    </row>
    <row r="40" spans="1:7" s="3" customFormat="1" ht="13" thickBot="1" x14ac:dyDescent="0.3">
      <c r="A40" s="212"/>
      <c r="B40" s="213" t="s">
        <v>0</v>
      </c>
      <c r="C40" s="214">
        <f>SUM(C2:C39)</f>
        <v>0</v>
      </c>
      <c r="D40" s="214">
        <f>SUM(D2:D39)</f>
        <v>719.4</v>
      </c>
      <c r="E40" s="214">
        <f>SUM(E2:E39)</f>
        <v>1400.5</v>
      </c>
      <c r="F40" s="215">
        <f>SUM(C40:E40)</f>
        <v>2119.9</v>
      </c>
      <c r="G40" s="216"/>
    </row>
    <row r="41" spans="1:7" s="3" customFormat="1" ht="11" thickTop="1" x14ac:dyDescent="0.25">
      <c r="D41" s="1"/>
      <c r="E41" s="1"/>
    </row>
    <row r="42" spans="1:7" s="3" customFormat="1" x14ac:dyDescent="0.25">
      <c r="D42" s="1"/>
      <c r="E42" s="1"/>
    </row>
    <row r="43" spans="1:7" s="3" customFormat="1" x14ac:dyDescent="0.25">
      <c r="D43" s="1"/>
      <c r="E43" s="1"/>
    </row>
    <row r="44" spans="1:7" s="3" customFormat="1" x14ac:dyDescent="0.25">
      <c r="D44" s="1"/>
      <c r="E44" s="1"/>
    </row>
    <row r="45" spans="1:7" s="3" customFormat="1" x14ac:dyDescent="0.25">
      <c r="D45" s="1"/>
      <c r="E45" s="1"/>
    </row>
    <row r="46" spans="1:7" s="3" customFormat="1" x14ac:dyDescent="0.25">
      <c r="D46" s="1"/>
      <c r="E46" s="1"/>
    </row>
    <row r="47" spans="1:7" s="3" customFormat="1" x14ac:dyDescent="0.25">
      <c r="D47" s="1"/>
      <c r="E47" s="1"/>
    </row>
    <row r="48" spans="1:7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  <row r="1133" spans="4:5" s="3" customFormat="1" x14ac:dyDescent="0.25">
      <c r="D1133" s="1"/>
      <c r="E1133" s="1"/>
    </row>
    <row r="1134" spans="4:5" s="3" customFormat="1" x14ac:dyDescent="0.25">
      <c r="D1134" s="1"/>
      <c r="E1134" s="1"/>
    </row>
    <row r="1135" spans="4:5" s="3" customFormat="1" x14ac:dyDescent="0.25">
      <c r="D1135" s="1"/>
      <c r="E1135" s="1"/>
    </row>
    <row r="1136" spans="4:5" s="3" customFormat="1" x14ac:dyDescent="0.25">
      <c r="D1136" s="1"/>
      <c r="E1136" s="1"/>
    </row>
    <row r="1137" spans="4:5" s="3" customFormat="1" x14ac:dyDescent="0.25">
      <c r="D1137" s="1"/>
      <c r="E1137" s="1"/>
    </row>
    <row r="1138" spans="4:5" s="3" customFormat="1" x14ac:dyDescent="0.25">
      <c r="D1138" s="1"/>
      <c r="E1138" s="1"/>
    </row>
    <row r="1139" spans="4:5" s="3" customFormat="1" x14ac:dyDescent="0.25">
      <c r="D1139" s="1"/>
      <c r="E1139" s="1"/>
    </row>
    <row r="1140" spans="4:5" s="3" customFormat="1" x14ac:dyDescent="0.25">
      <c r="D1140" s="1"/>
      <c r="E1140" s="1"/>
    </row>
    <row r="1141" spans="4:5" s="3" customFormat="1" x14ac:dyDescent="0.25">
      <c r="D1141" s="1"/>
      <c r="E1141" s="1"/>
    </row>
    <row r="1142" spans="4:5" s="3" customFormat="1" x14ac:dyDescent="0.25">
      <c r="D1142" s="1"/>
      <c r="E1142" s="1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1126"/>
  <sheetViews>
    <sheetView showGridLines="0" workbookViewId="0">
      <selection activeCell="A16" sqref="A16:XFD16"/>
    </sheetView>
  </sheetViews>
  <sheetFormatPr baseColWidth="10" defaultColWidth="10.81640625" defaultRowHeight="10.5" x14ac:dyDescent="0.25"/>
  <cols>
    <col min="1" max="1" width="10.81640625" style="58"/>
    <col min="2" max="2" width="23.90625" style="58" bestFit="1" customWidth="1"/>
    <col min="3" max="3" width="10.81640625" style="58"/>
    <col min="4" max="4" width="10.81640625" style="153" bestFit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" thickTop="1" x14ac:dyDescent="0.25">
      <c r="A1" s="206" t="s">
        <v>55</v>
      </c>
      <c r="B1" s="208"/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2.5" x14ac:dyDescent="0.25">
      <c r="A2" s="210">
        <v>44807</v>
      </c>
      <c r="B2" s="56" t="s">
        <v>170</v>
      </c>
      <c r="C2" s="199">
        <v>60</v>
      </c>
      <c r="D2" s="200"/>
      <c r="E2" s="201"/>
      <c r="F2" s="202">
        <f t="shared" ref="F2:F15" si="0">SUM(C2:E2)</f>
        <v>60</v>
      </c>
      <c r="G2" s="217" t="s">
        <v>145</v>
      </c>
    </row>
    <row r="3" spans="1:35" ht="12.5" x14ac:dyDescent="0.25">
      <c r="A3" s="210">
        <v>44809</v>
      </c>
      <c r="B3" s="56" t="s">
        <v>283</v>
      </c>
      <c r="C3" s="199">
        <v>88.32</v>
      </c>
      <c r="D3" s="200"/>
      <c r="E3" s="203"/>
      <c r="F3" s="202">
        <f t="shared" si="0"/>
        <v>88.32</v>
      </c>
      <c r="G3" s="217" t="s">
        <v>145</v>
      </c>
    </row>
    <row r="4" spans="1:35" ht="12.5" x14ac:dyDescent="0.25">
      <c r="A4" s="210">
        <v>44811</v>
      </c>
      <c r="B4" s="56" t="s">
        <v>306</v>
      </c>
      <c r="C4" s="199">
        <v>88.74</v>
      </c>
      <c r="D4" s="200"/>
      <c r="E4" s="203"/>
      <c r="F4" s="204">
        <f t="shared" si="0"/>
        <v>88.74</v>
      </c>
      <c r="G4" s="217" t="s">
        <v>145</v>
      </c>
    </row>
    <row r="5" spans="1:35" ht="12.5" x14ac:dyDescent="0.25">
      <c r="A5" s="210">
        <v>44811</v>
      </c>
      <c r="B5" s="56" t="s">
        <v>568</v>
      </c>
      <c r="C5" s="199">
        <v>50</v>
      </c>
      <c r="D5" s="200"/>
      <c r="E5" s="203"/>
      <c r="F5" s="204">
        <f t="shared" si="0"/>
        <v>50</v>
      </c>
      <c r="G5" s="217" t="s">
        <v>145</v>
      </c>
    </row>
    <row r="6" spans="1:35" ht="12.5" x14ac:dyDescent="0.25">
      <c r="A6" s="210">
        <v>44823</v>
      </c>
      <c r="B6" s="56" t="s">
        <v>196</v>
      </c>
      <c r="C6" s="199">
        <v>60</v>
      </c>
      <c r="D6" s="200"/>
      <c r="E6" s="203"/>
      <c r="F6" s="204">
        <f t="shared" si="0"/>
        <v>60</v>
      </c>
      <c r="G6" s="217" t="s">
        <v>145</v>
      </c>
    </row>
    <row r="7" spans="1:35" ht="12.5" x14ac:dyDescent="0.25">
      <c r="A7" s="210">
        <v>44824</v>
      </c>
      <c r="B7" s="56" t="s">
        <v>596</v>
      </c>
      <c r="C7" s="199"/>
      <c r="D7" s="200">
        <v>138</v>
      </c>
      <c r="E7" s="203"/>
      <c r="F7" s="204">
        <f t="shared" si="0"/>
        <v>138</v>
      </c>
      <c r="G7" s="217" t="s">
        <v>145</v>
      </c>
    </row>
    <row r="8" spans="1:35" ht="12.5" x14ac:dyDescent="0.25">
      <c r="A8" s="210">
        <v>44824</v>
      </c>
      <c r="B8" s="56" t="s">
        <v>231</v>
      </c>
      <c r="C8" s="199"/>
      <c r="D8" s="200">
        <v>80</v>
      </c>
      <c r="E8" s="203"/>
      <c r="F8" s="204">
        <f t="shared" si="0"/>
        <v>80</v>
      </c>
      <c r="G8" s="217" t="s">
        <v>145</v>
      </c>
    </row>
    <row r="9" spans="1:35" ht="12.5" x14ac:dyDescent="0.25">
      <c r="A9" s="210">
        <v>44830</v>
      </c>
      <c r="B9" s="56" t="s">
        <v>436</v>
      </c>
      <c r="C9" s="199">
        <v>150.51</v>
      </c>
      <c r="D9" s="200"/>
      <c r="E9" s="203"/>
      <c r="F9" s="204">
        <f t="shared" si="0"/>
        <v>150.51</v>
      </c>
      <c r="G9" s="217" t="s">
        <v>145</v>
      </c>
    </row>
    <row r="10" spans="1:35" ht="12.5" x14ac:dyDescent="0.25">
      <c r="A10" s="210">
        <v>44832</v>
      </c>
      <c r="B10" s="56" t="s">
        <v>598</v>
      </c>
      <c r="C10" s="199">
        <v>400</v>
      </c>
      <c r="D10" s="200"/>
      <c r="E10" s="203"/>
      <c r="F10" s="204">
        <f t="shared" si="0"/>
        <v>400</v>
      </c>
      <c r="G10" s="217" t="s">
        <v>145</v>
      </c>
    </row>
    <row r="11" spans="1:35" ht="12.5" x14ac:dyDescent="0.25">
      <c r="A11" s="210">
        <v>44833</v>
      </c>
      <c r="B11" s="56" t="s">
        <v>424</v>
      </c>
      <c r="C11" s="199">
        <v>120</v>
      </c>
      <c r="D11" s="200"/>
      <c r="E11" s="203"/>
      <c r="F11" s="204">
        <f t="shared" si="0"/>
        <v>120</v>
      </c>
      <c r="G11" s="217" t="s">
        <v>145</v>
      </c>
    </row>
    <row r="12" spans="1:35" ht="12.5" x14ac:dyDescent="0.25">
      <c r="A12" s="210">
        <v>44834</v>
      </c>
      <c r="B12" s="56" t="s">
        <v>279</v>
      </c>
      <c r="C12" s="199">
        <v>80</v>
      </c>
      <c r="D12" s="200"/>
      <c r="E12" s="203"/>
      <c r="F12" s="204">
        <f t="shared" si="0"/>
        <v>80</v>
      </c>
      <c r="G12" s="217" t="s">
        <v>145</v>
      </c>
    </row>
    <row r="13" spans="1:35" ht="12.5" x14ac:dyDescent="0.25">
      <c r="A13" s="210">
        <v>44834</v>
      </c>
      <c r="B13" s="56" t="s">
        <v>427</v>
      </c>
      <c r="C13" s="199">
        <v>100</v>
      </c>
      <c r="D13" s="200"/>
      <c r="E13" s="203"/>
      <c r="F13" s="204">
        <f t="shared" si="0"/>
        <v>100</v>
      </c>
      <c r="G13" s="217" t="s">
        <v>145</v>
      </c>
    </row>
    <row r="14" spans="1:35" ht="12.5" x14ac:dyDescent="0.25">
      <c r="A14" s="210">
        <v>44834</v>
      </c>
      <c r="B14" s="56" t="s">
        <v>350</v>
      </c>
      <c r="C14" s="199">
        <v>136</v>
      </c>
      <c r="D14" s="200"/>
      <c r="E14" s="203"/>
      <c r="F14" s="204">
        <f t="shared" si="0"/>
        <v>136</v>
      </c>
      <c r="G14" s="217" t="s">
        <v>145</v>
      </c>
    </row>
    <row r="15" spans="1:35" ht="12.5" x14ac:dyDescent="0.25">
      <c r="A15" s="210">
        <v>44834</v>
      </c>
      <c r="B15" s="56" t="s">
        <v>303</v>
      </c>
      <c r="C15" s="199">
        <v>100</v>
      </c>
      <c r="D15" s="200"/>
      <c r="E15" s="203"/>
      <c r="F15" s="204">
        <f t="shared" si="0"/>
        <v>100</v>
      </c>
      <c r="G15" s="217" t="s">
        <v>145</v>
      </c>
    </row>
    <row r="16" spans="1:35" s="162" customFormat="1" ht="13" thickBot="1" x14ac:dyDescent="0.3">
      <c r="A16" s="212"/>
      <c r="B16" s="213" t="s">
        <v>0</v>
      </c>
      <c r="C16" s="214">
        <f>SUM(C2:C15)</f>
        <v>1433.57</v>
      </c>
      <c r="D16" s="214">
        <f>SUM(D2:D15)</f>
        <v>218</v>
      </c>
      <c r="E16" s="214">
        <f>SUM(E2:E15)</f>
        <v>0</v>
      </c>
      <c r="F16" s="215">
        <f>SUM(F2:F15)</f>
        <v>1651.57</v>
      </c>
      <c r="G16" s="2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4:5" s="3" customFormat="1" ht="11" thickTop="1" x14ac:dyDescent="0.25">
      <c r="D17" s="1"/>
      <c r="E17" s="1"/>
    </row>
    <row r="18" spans="4:5" s="3" customFormat="1" x14ac:dyDescent="0.25">
      <c r="D18" s="1"/>
      <c r="E18" s="1"/>
    </row>
    <row r="19" spans="4:5" s="3" customFormat="1" x14ac:dyDescent="0.25">
      <c r="D19" s="1"/>
      <c r="E19" s="1"/>
    </row>
    <row r="20" spans="4:5" s="3" customFormat="1" x14ac:dyDescent="0.25">
      <c r="D20" s="1"/>
      <c r="E20" s="1"/>
    </row>
    <row r="21" spans="4:5" s="3" customFormat="1" x14ac:dyDescent="0.25">
      <c r="D21" s="1"/>
      <c r="E21" s="1"/>
    </row>
    <row r="22" spans="4:5" s="3" customFormat="1" x14ac:dyDescent="0.25">
      <c r="D22" s="1"/>
      <c r="E22" s="1"/>
    </row>
    <row r="23" spans="4:5" s="3" customFormat="1" x14ac:dyDescent="0.25">
      <c r="D23" s="1"/>
      <c r="E23" s="1"/>
    </row>
    <row r="24" spans="4:5" s="3" customFormat="1" x14ac:dyDescent="0.25">
      <c r="D24" s="1"/>
      <c r="E24" s="1"/>
    </row>
    <row r="25" spans="4:5" s="3" customFormat="1" x14ac:dyDescent="0.25">
      <c r="D25" s="1"/>
      <c r="E25" s="1"/>
    </row>
    <row r="26" spans="4:5" s="3" customFormat="1" x14ac:dyDescent="0.25">
      <c r="D26" s="1"/>
      <c r="E26" s="1"/>
    </row>
    <row r="27" spans="4:5" s="3" customFormat="1" x14ac:dyDescent="0.25">
      <c r="D27" s="1"/>
      <c r="E27" s="1"/>
    </row>
    <row r="28" spans="4:5" s="3" customFormat="1" x14ac:dyDescent="0.25">
      <c r="D28" s="1"/>
      <c r="E28" s="1"/>
    </row>
    <row r="29" spans="4:5" s="3" customFormat="1" x14ac:dyDescent="0.25">
      <c r="D29" s="1"/>
      <c r="E29" s="1"/>
    </row>
    <row r="30" spans="4:5" s="3" customFormat="1" x14ac:dyDescent="0.25">
      <c r="D30" s="1"/>
      <c r="E30" s="1"/>
    </row>
    <row r="31" spans="4:5" s="3" customFormat="1" x14ac:dyDescent="0.25">
      <c r="D31" s="1"/>
      <c r="E31" s="1"/>
    </row>
    <row r="32" spans="4: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</sheetData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K91"/>
  <sheetViews>
    <sheetView showGridLines="0" topLeftCell="B52" zoomScale="84" zoomScaleNormal="84" workbookViewId="0">
      <selection activeCell="B79" sqref="A79:XFD79"/>
    </sheetView>
  </sheetViews>
  <sheetFormatPr baseColWidth="10" defaultRowHeight="12.5" x14ac:dyDescent="0.25"/>
  <cols>
    <col min="1" max="1" width="9.81640625" customWidth="1"/>
    <col min="2" max="2" width="36.3632812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74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f>'08 2022'!D56</f>
        <v>13830.80000000001</v>
      </c>
      <c r="E5" s="179"/>
      <c r="F5" s="180">
        <f>'08 2022'!F56</f>
        <v>70.600000000000023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13901.400000000011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170" customFormat="1" ht="12" customHeight="1" x14ac:dyDescent="0.25">
      <c r="A6" s="271">
        <v>44806</v>
      </c>
      <c r="B6" s="222" t="s">
        <v>138</v>
      </c>
      <c r="C6" s="272" t="s">
        <v>145</v>
      </c>
      <c r="D6" s="283"/>
      <c r="E6" s="223">
        <v>10.44</v>
      </c>
      <c r="F6" s="224"/>
      <c r="G6" s="284"/>
      <c r="H6" s="302"/>
      <c r="I6" s="225"/>
      <c r="J6" s="225"/>
      <c r="K6" s="226"/>
      <c r="L6" s="225"/>
      <c r="M6" s="225"/>
      <c r="N6" s="225"/>
      <c r="O6" s="303"/>
      <c r="P6" s="316"/>
      <c r="Q6" s="227"/>
      <c r="R6" s="227"/>
      <c r="S6" s="227"/>
      <c r="T6" s="227"/>
      <c r="U6" s="228"/>
      <c r="V6" s="227"/>
      <c r="W6" s="229">
        <v>10.44</v>
      </c>
      <c r="X6" s="227"/>
      <c r="Y6" s="227"/>
      <c r="Z6" s="227"/>
      <c r="AA6" s="317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170" customFormat="1" ht="12" customHeight="1" x14ac:dyDescent="0.25">
      <c r="A7" s="273">
        <v>44807</v>
      </c>
      <c r="B7" s="231" t="s">
        <v>170</v>
      </c>
      <c r="C7" s="274" t="s">
        <v>145</v>
      </c>
      <c r="D7" s="285">
        <v>60</v>
      </c>
      <c r="E7" s="218"/>
      <c r="F7" s="219"/>
      <c r="G7" s="286"/>
      <c r="H7" s="304"/>
      <c r="I7" s="185">
        <v>60</v>
      </c>
      <c r="J7" s="185"/>
      <c r="K7" s="186"/>
      <c r="L7" s="185"/>
      <c r="M7" s="185"/>
      <c r="N7" s="185"/>
      <c r="O7" s="305"/>
      <c r="P7" s="318"/>
      <c r="Q7" s="191"/>
      <c r="R7" s="191"/>
      <c r="S7" s="191"/>
      <c r="T7" s="191"/>
      <c r="U7" s="232"/>
      <c r="V7" s="191"/>
      <c r="W7" s="192"/>
      <c r="X7" s="191"/>
      <c r="Y7" s="191"/>
      <c r="Z7" s="191"/>
      <c r="AA7" s="319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527" customFormat="1" ht="12" customHeight="1" x14ac:dyDescent="0.25">
      <c r="A8" s="511">
        <v>44808</v>
      </c>
      <c r="B8" s="512" t="s">
        <v>146</v>
      </c>
      <c r="C8" s="513" t="s">
        <v>145</v>
      </c>
      <c r="D8" s="514"/>
      <c r="E8" s="515">
        <v>29.99</v>
      </c>
      <c r="F8" s="516"/>
      <c r="G8" s="517"/>
      <c r="H8" s="518"/>
      <c r="I8" s="519"/>
      <c r="J8" s="519"/>
      <c r="K8" s="520"/>
      <c r="L8" s="519"/>
      <c r="M8" s="519"/>
      <c r="N8" s="519"/>
      <c r="O8" s="521"/>
      <c r="P8" s="522"/>
      <c r="Q8" s="523"/>
      <c r="R8" s="523"/>
      <c r="S8" s="523"/>
      <c r="T8" s="523"/>
      <c r="U8" s="524"/>
      <c r="V8" s="523">
        <v>29.99</v>
      </c>
      <c r="W8" s="525"/>
      <c r="X8" s="523"/>
      <c r="Y8" s="523"/>
      <c r="Z8" s="523"/>
      <c r="AA8" s="526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527" customFormat="1" ht="12" customHeight="1" x14ac:dyDescent="0.25">
      <c r="A9" s="511">
        <v>44809</v>
      </c>
      <c r="B9" s="512" t="s">
        <v>283</v>
      </c>
      <c r="C9" s="513" t="s">
        <v>145</v>
      </c>
      <c r="D9" s="514">
        <v>88.32</v>
      </c>
      <c r="E9" s="515"/>
      <c r="F9" s="516"/>
      <c r="G9" s="517"/>
      <c r="H9" s="518"/>
      <c r="I9" s="519">
        <v>88.32</v>
      </c>
      <c r="J9" s="519"/>
      <c r="K9" s="520"/>
      <c r="L9" s="519"/>
      <c r="M9" s="519"/>
      <c r="N9" s="519"/>
      <c r="O9" s="521"/>
      <c r="P9" s="522"/>
      <c r="Q9" s="523"/>
      <c r="R9" s="523"/>
      <c r="S9" s="523"/>
      <c r="T9" s="523"/>
      <c r="U9" s="524"/>
      <c r="V9" s="523"/>
      <c r="W9" s="525"/>
      <c r="X9" s="523"/>
      <c r="Y9" s="523"/>
      <c r="Z9" s="523"/>
      <c r="AA9" s="526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527" customFormat="1" ht="12" customHeight="1" x14ac:dyDescent="0.25">
      <c r="A10" s="511">
        <v>44811</v>
      </c>
      <c r="B10" s="512" t="s">
        <v>306</v>
      </c>
      <c r="C10" s="513" t="s">
        <v>145</v>
      </c>
      <c r="D10" s="514">
        <v>88.74</v>
      </c>
      <c r="E10" s="515"/>
      <c r="F10" s="516"/>
      <c r="G10" s="517"/>
      <c r="H10" s="518"/>
      <c r="I10" s="519">
        <v>88.74</v>
      </c>
      <c r="J10" s="519"/>
      <c r="K10" s="520"/>
      <c r="L10" s="519"/>
      <c r="M10" s="519"/>
      <c r="N10" s="519"/>
      <c r="O10" s="521"/>
      <c r="P10" s="522"/>
      <c r="Q10" s="523"/>
      <c r="R10" s="523"/>
      <c r="S10" s="523"/>
      <c r="T10" s="523"/>
      <c r="U10" s="524"/>
      <c r="V10" s="523"/>
      <c r="W10" s="525"/>
      <c r="X10" s="523"/>
      <c r="Y10" s="523"/>
      <c r="Z10" s="523"/>
      <c r="AA10" s="526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170" customFormat="1" ht="12" customHeight="1" x14ac:dyDescent="0.25">
      <c r="A11" s="273">
        <v>44811</v>
      </c>
      <c r="B11" s="231" t="s">
        <v>567</v>
      </c>
      <c r="C11" s="274" t="s">
        <v>145</v>
      </c>
      <c r="D11" s="285"/>
      <c r="E11" s="218"/>
      <c r="F11" s="219">
        <v>28.8</v>
      </c>
      <c r="G11" s="286"/>
      <c r="H11" s="304">
        <v>28.8</v>
      </c>
      <c r="I11" s="185"/>
      <c r="J11" s="185"/>
      <c r="K11" s="186"/>
      <c r="L11" s="185"/>
      <c r="M11" s="185"/>
      <c r="N11" s="185"/>
      <c r="O11" s="305"/>
      <c r="P11" s="318"/>
      <c r="Q11" s="191"/>
      <c r="R11" s="191"/>
      <c r="S11" s="191"/>
      <c r="T11" s="191"/>
      <c r="U11" s="232"/>
      <c r="V11" s="191"/>
      <c r="W11" s="192"/>
      <c r="X11" s="191"/>
      <c r="Y11" s="191"/>
      <c r="Z11" s="191"/>
      <c r="AA11" s="319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527" customFormat="1" ht="12" customHeight="1" x14ac:dyDescent="0.25">
      <c r="A12" s="511">
        <v>44811</v>
      </c>
      <c r="B12" s="512" t="s">
        <v>568</v>
      </c>
      <c r="C12" s="513" t="s">
        <v>145</v>
      </c>
      <c r="D12" s="514">
        <v>50</v>
      </c>
      <c r="E12" s="515"/>
      <c r="F12" s="516"/>
      <c r="G12" s="517"/>
      <c r="H12" s="518"/>
      <c r="I12" s="519">
        <v>50</v>
      </c>
      <c r="J12" s="519"/>
      <c r="K12" s="520"/>
      <c r="L12" s="519"/>
      <c r="M12" s="519"/>
      <c r="N12" s="519"/>
      <c r="O12" s="521"/>
      <c r="P12" s="522"/>
      <c r="Q12" s="523"/>
      <c r="R12" s="523"/>
      <c r="S12" s="523"/>
      <c r="T12" s="523"/>
      <c r="U12" s="524"/>
      <c r="V12" s="523"/>
      <c r="W12" s="525"/>
      <c r="X12" s="523"/>
      <c r="Y12" s="523"/>
      <c r="Z12" s="523"/>
      <c r="AA12" s="526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527" customFormat="1" ht="12" customHeight="1" x14ac:dyDescent="0.25">
      <c r="A13" s="511">
        <v>44812</v>
      </c>
      <c r="B13" s="512" t="s">
        <v>211</v>
      </c>
      <c r="C13" s="513" t="s">
        <v>145</v>
      </c>
      <c r="D13" s="514"/>
      <c r="E13" s="515">
        <v>10.68</v>
      </c>
      <c r="F13" s="516"/>
      <c r="G13" s="517"/>
      <c r="H13" s="518"/>
      <c r="I13" s="519"/>
      <c r="J13" s="519"/>
      <c r="K13" s="520"/>
      <c r="L13" s="519"/>
      <c r="M13" s="519"/>
      <c r="N13" s="519"/>
      <c r="O13" s="521"/>
      <c r="P13" s="522"/>
      <c r="Q13" s="523"/>
      <c r="R13" s="523"/>
      <c r="S13" s="523"/>
      <c r="T13" s="523"/>
      <c r="U13" s="524"/>
      <c r="V13" s="523"/>
      <c r="W13" s="525"/>
      <c r="X13" s="523"/>
      <c r="Y13" s="523">
        <v>10.68</v>
      </c>
      <c r="Z13" s="523"/>
      <c r="AA13" s="526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527" customFormat="1" ht="12" customHeight="1" x14ac:dyDescent="0.25">
      <c r="A14" s="511">
        <v>44812</v>
      </c>
      <c r="B14" s="512" t="s">
        <v>569</v>
      </c>
      <c r="C14" s="513" t="s">
        <v>145</v>
      </c>
      <c r="D14" s="514"/>
      <c r="E14" s="515">
        <v>85.47</v>
      </c>
      <c r="F14" s="516"/>
      <c r="G14" s="517"/>
      <c r="H14" s="518"/>
      <c r="I14" s="519"/>
      <c r="J14" s="519"/>
      <c r="K14" s="520"/>
      <c r="L14" s="519"/>
      <c r="M14" s="519"/>
      <c r="N14" s="519"/>
      <c r="O14" s="521"/>
      <c r="P14" s="522"/>
      <c r="Q14" s="523"/>
      <c r="R14" s="523"/>
      <c r="S14" s="523">
        <v>85.47</v>
      </c>
      <c r="T14" s="523"/>
      <c r="U14" s="524"/>
      <c r="V14" s="523"/>
      <c r="W14" s="525"/>
      <c r="X14" s="523"/>
      <c r="Y14" s="523"/>
      <c r="Z14" s="523"/>
      <c r="AA14" s="526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170" customFormat="1" ht="12" customHeight="1" x14ac:dyDescent="0.25">
      <c r="A15" s="273">
        <v>44813</v>
      </c>
      <c r="B15" s="231" t="s">
        <v>570</v>
      </c>
      <c r="C15" s="274" t="s">
        <v>145</v>
      </c>
      <c r="D15" s="285"/>
      <c r="E15" s="218">
        <v>2164.5</v>
      </c>
      <c r="F15" s="219"/>
      <c r="G15" s="286"/>
      <c r="H15" s="304"/>
      <c r="I15" s="185"/>
      <c r="J15" s="185"/>
      <c r="K15" s="186"/>
      <c r="L15" s="185"/>
      <c r="M15" s="185"/>
      <c r="N15" s="185"/>
      <c r="O15" s="305"/>
      <c r="P15" s="318"/>
      <c r="Q15" s="191"/>
      <c r="R15" s="191"/>
      <c r="S15" s="191"/>
      <c r="T15" s="191">
        <v>2164.5</v>
      </c>
      <c r="U15" s="232"/>
      <c r="V15" s="191"/>
      <c r="W15" s="192"/>
      <c r="X15" s="191"/>
      <c r="Y15" s="191"/>
      <c r="Z15" s="191"/>
      <c r="AA15" s="319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170" customFormat="1" ht="12" customHeight="1" x14ac:dyDescent="0.25">
      <c r="A16" s="273">
        <v>44814</v>
      </c>
      <c r="B16" s="231" t="s">
        <v>571</v>
      </c>
      <c r="C16" s="274" t="s">
        <v>145</v>
      </c>
      <c r="D16" s="285"/>
      <c r="E16" s="218"/>
      <c r="F16" s="219"/>
      <c r="G16" s="286">
        <v>22</v>
      </c>
      <c r="H16" s="304"/>
      <c r="I16" s="185"/>
      <c r="J16" s="185"/>
      <c r="K16" s="186"/>
      <c r="L16" s="185"/>
      <c r="M16" s="185"/>
      <c r="N16" s="185"/>
      <c r="O16" s="305"/>
      <c r="P16" s="318"/>
      <c r="Q16" s="191"/>
      <c r="R16" s="191"/>
      <c r="S16" s="191">
        <v>22</v>
      </c>
      <c r="T16" s="191"/>
      <c r="U16" s="232"/>
      <c r="V16" s="191"/>
      <c r="W16" s="192"/>
      <c r="X16" s="191"/>
      <c r="Y16" s="191"/>
      <c r="Z16" s="191"/>
      <c r="AA16" s="319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170" customFormat="1" ht="12" customHeight="1" x14ac:dyDescent="0.25">
      <c r="A17" s="273">
        <v>44814</v>
      </c>
      <c r="B17" s="231" t="s">
        <v>572</v>
      </c>
      <c r="C17" s="274" t="s">
        <v>145</v>
      </c>
      <c r="D17" s="285">
        <v>47.5</v>
      </c>
      <c r="E17" s="218"/>
      <c r="F17" s="219"/>
      <c r="G17" s="286"/>
      <c r="H17" s="304"/>
      <c r="I17" s="185"/>
      <c r="J17" s="185"/>
      <c r="K17" s="186">
        <v>47.5</v>
      </c>
      <c r="L17" s="185"/>
      <c r="M17" s="185"/>
      <c r="N17" s="185"/>
      <c r="O17" s="305"/>
      <c r="P17" s="318"/>
      <c r="Q17" s="191"/>
      <c r="R17" s="191"/>
      <c r="S17" s="191"/>
      <c r="T17" s="191"/>
      <c r="U17" s="232"/>
      <c r="V17" s="191"/>
      <c r="W17" s="192"/>
      <c r="X17" s="191"/>
      <c r="Y17" s="191"/>
      <c r="Z17" s="191"/>
      <c r="AA17" s="319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170" customFormat="1" ht="12" customHeight="1" x14ac:dyDescent="0.25">
      <c r="A18" s="273">
        <v>44814</v>
      </c>
      <c r="B18" s="231" t="s">
        <v>573</v>
      </c>
      <c r="C18" s="274" t="s">
        <v>145</v>
      </c>
      <c r="D18" s="285"/>
      <c r="E18" s="218"/>
      <c r="F18" s="219">
        <v>15</v>
      </c>
      <c r="G18" s="286"/>
      <c r="H18" s="304"/>
      <c r="I18" s="185"/>
      <c r="J18" s="185"/>
      <c r="K18" s="186">
        <v>15</v>
      </c>
      <c r="L18" s="185"/>
      <c r="M18" s="185"/>
      <c r="N18" s="185"/>
      <c r="O18" s="305"/>
      <c r="P18" s="318"/>
      <c r="Q18" s="191"/>
      <c r="R18" s="191"/>
      <c r="S18" s="191"/>
      <c r="T18" s="191"/>
      <c r="U18" s="232"/>
      <c r="V18" s="191"/>
      <c r="W18" s="192"/>
      <c r="X18" s="191"/>
      <c r="Y18" s="191"/>
      <c r="Z18" s="191"/>
      <c r="AA18" s="319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170" customFormat="1" ht="12" customHeight="1" x14ac:dyDescent="0.25">
      <c r="A19" s="273">
        <v>44814</v>
      </c>
      <c r="B19" s="231" t="s">
        <v>574</v>
      </c>
      <c r="C19" s="274" t="s">
        <v>145</v>
      </c>
      <c r="D19" s="285"/>
      <c r="E19" s="218"/>
      <c r="F19" s="219">
        <v>31.5</v>
      </c>
      <c r="G19" s="286"/>
      <c r="H19" s="304"/>
      <c r="I19" s="185"/>
      <c r="J19" s="185"/>
      <c r="K19" s="186">
        <v>31.5</v>
      </c>
      <c r="L19" s="185"/>
      <c r="M19" s="185"/>
      <c r="N19" s="185"/>
      <c r="O19" s="305"/>
      <c r="P19" s="318"/>
      <c r="Q19" s="191"/>
      <c r="R19" s="191"/>
      <c r="S19" s="191"/>
      <c r="T19" s="191"/>
      <c r="U19" s="232"/>
      <c r="V19" s="191"/>
      <c r="W19" s="192"/>
      <c r="X19" s="191"/>
      <c r="Y19" s="191"/>
      <c r="Z19" s="191"/>
      <c r="AA19" s="319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170" customFormat="1" ht="12" customHeight="1" x14ac:dyDescent="0.25">
      <c r="A20" s="273">
        <v>44814</v>
      </c>
      <c r="B20" s="231" t="s">
        <v>575</v>
      </c>
      <c r="C20" s="274" t="s">
        <v>145</v>
      </c>
      <c r="D20" s="285">
        <v>16</v>
      </c>
      <c r="E20" s="218"/>
      <c r="F20" s="219"/>
      <c r="G20" s="286"/>
      <c r="H20" s="304"/>
      <c r="I20" s="185"/>
      <c r="J20" s="185"/>
      <c r="K20" s="186">
        <v>16</v>
      </c>
      <c r="L20" s="185"/>
      <c r="M20" s="185"/>
      <c r="N20" s="185"/>
      <c r="O20" s="305"/>
      <c r="P20" s="318"/>
      <c r="Q20" s="191"/>
      <c r="R20" s="191"/>
      <c r="S20" s="191"/>
      <c r="T20" s="191"/>
      <c r="U20" s="232"/>
      <c r="V20" s="191"/>
      <c r="W20" s="192"/>
      <c r="X20" s="191"/>
      <c r="Y20" s="191"/>
      <c r="Z20" s="191"/>
      <c r="AA20" s="319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170" customFormat="1" ht="12" customHeight="1" x14ac:dyDescent="0.25">
      <c r="A21" s="273">
        <v>44814</v>
      </c>
      <c r="B21" s="231" t="s">
        <v>576</v>
      </c>
      <c r="C21" s="274" t="s">
        <v>145</v>
      </c>
      <c r="D21" s="285"/>
      <c r="E21" s="218"/>
      <c r="F21" s="219">
        <v>36.5</v>
      </c>
      <c r="G21" s="286"/>
      <c r="H21" s="304"/>
      <c r="I21" s="185"/>
      <c r="J21" s="185"/>
      <c r="K21" s="186">
        <v>36.5</v>
      </c>
      <c r="L21" s="185"/>
      <c r="M21" s="185"/>
      <c r="N21" s="185"/>
      <c r="O21" s="305"/>
      <c r="P21" s="318"/>
      <c r="Q21" s="191"/>
      <c r="R21" s="191"/>
      <c r="S21" s="191"/>
      <c r="T21" s="191"/>
      <c r="U21" s="232"/>
      <c r="V21" s="191"/>
      <c r="W21" s="192"/>
      <c r="X21" s="191"/>
      <c r="Y21" s="191"/>
      <c r="Z21" s="191"/>
      <c r="AA21" s="319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170" customFormat="1" ht="12" customHeight="1" x14ac:dyDescent="0.25">
      <c r="A22" s="273">
        <v>44814</v>
      </c>
      <c r="B22" s="231" t="s">
        <v>577</v>
      </c>
      <c r="C22" s="274" t="s">
        <v>145</v>
      </c>
      <c r="D22" s="285">
        <v>27.5</v>
      </c>
      <c r="E22" s="218"/>
      <c r="F22" s="219"/>
      <c r="G22" s="286"/>
      <c r="H22" s="304"/>
      <c r="I22" s="185"/>
      <c r="J22" s="185"/>
      <c r="K22" s="186">
        <v>27.5</v>
      </c>
      <c r="L22" s="185"/>
      <c r="M22" s="185"/>
      <c r="N22" s="185"/>
      <c r="O22" s="305"/>
      <c r="P22" s="318"/>
      <c r="Q22" s="191"/>
      <c r="R22" s="191"/>
      <c r="S22" s="191"/>
      <c r="T22" s="191"/>
      <c r="U22" s="232"/>
      <c r="V22" s="191"/>
      <c r="W22" s="192"/>
      <c r="X22" s="191"/>
      <c r="Y22" s="191"/>
      <c r="Z22" s="191"/>
      <c r="AA22" s="319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170" customFormat="1" ht="12" customHeight="1" x14ac:dyDescent="0.25">
      <c r="A23" s="273">
        <v>44814</v>
      </c>
      <c r="B23" s="231" t="s">
        <v>578</v>
      </c>
      <c r="C23" s="274" t="s">
        <v>145</v>
      </c>
      <c r="D23" s="285">
        <v>30</v>
      </c>
      <c r="E23" s="218"/>
      <c r="F23" s="219"/>
      <c r="G23" s="286"/>
      <c r="H23" s="304"/>
      <c r="I23" s="185"/>
      <c r="J23" s="185"/>
      <c r="K23" s="186">
        <v>30</v>
      </c>
      <c r="L23" s="185"/>
      <c r="M23" s="185"/>
      <c r="N23" s="185"/>
      <c r="O23" s="305"/>
      <c r="P23" s="318"/>
      <c r="Q23" s="191"/>
      <c r="R23" s="191"/>
      <c r="S23" s="191"/>
      <c r="T23" s="191"/>
      <c r="U23" s="232"/>
      <c r="V23" s="191"/>
      <c r="W23" s="192"/>
      <c r="X23" s="191"/>
      <c r="Y23" s="191"/>
      <c r="Z23" s="191"/>
      <c r="AA23" s="319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170" customFormat="1" ht="12" customHeight="1" x14ac:dyDescent="0.25">
      <c r="A24" s="273">
        <v>44814</v>
      </c>
      <c r="B24" s="231" t="s">
        <v>579</v>
      </c>
      <c r="C24" s="274" t="s">
        <v>145</v>
      </c>
      <c r="D24" s="285">
        <v>87.5</v>
      </c>
      <c r="E24" s="218"/>
      <c r="F24" s="219"/>
      <c r="G24" s="286"/>
      <c r="H24" s="304"/>
      <c r="I24" s="185"/>
      <c r="J24" s="185"/>
      <c r="K24" s="186">
        <v>87.5</v>
      </c>
      <c r="L24" s="185"/>
      <c r="M24" s="185"/>
      <c r="N24" s="185"/>
      <c r="O24" s="305"/>
      <c r="P24" s="318"/>
      <c r="Q24" s="191"/>
      <c r="R24" s="191"/>
      <c r="S24" s="191"/>
      <c r="T24" s="191"/>
      <c r="U24" s="232"/>
      <c r="V24" s="191"/>
      <c r="W24" s="192"/>
      <c r="X24" s="191"/>
      <c r="Y24" s="191"/>
      <c r="Z24" s="191"/>
      <c r="AA24" s="319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170" customFormat="1" ht="12" customHeight="1" x14ac:dyDescent="0.25">
      <c r="A25" s="273">
        <v>44814</v>
      </c>
      <c r="B25" s="231" t="s">
        <v>580</v>
      </c>
      <c r="C25" s="274" t="s">
        <v>145</v>
      </c>
      <c r="D25" s="285"/>
      <c r="E25" s="218"/>
      <c r="F25" s="219">
        <v>182.5</v>
      </c>
      <c r="G25" s="286"/>
      <c r="H25" s="304"/>
      <c r="I25" s="185"/>
      <c r="J25" s="185"/>
      <c r="K25" s="186">
        <v>182.5</v>
      </c>
      <c r="L25" s="185"/>
      <c r="M25" s="185"/>
      <c r="N25" s="185"/>
      <c r="O25" s="305"/>
      <c r="P25" s="318"/>
      <c r="Q25" s="191"/>
      <c r="R25" s="191"/>
      <c r="S25" s="191"/>
      <c r="T25" s="191"/>
      <c r="U25" s="232"/>
      <c r="V25" s="191"/>
      <c r="W25" s="192"/>
      <c r="X25" s="191"/>
      <c r="Y25" s="191"/>
      <c r="Z25" s="191"/>
      <c r="AA25" s="319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170" customFormat="1" ht="12" customHeight="1" x14ac:dyDescent="0.25">
      <c r="A26" s="273">
        <v>44814</v>
      </c>
      <c r="B26" s="231" t="s">
        <v>581</v>
      </c>
      <c r="C26" s="274" t="s">
        <v>145</v>
      </c>
      <c r="D26" s="285"/>
      <c r="E26" s="218"/>
      <c r="F26" s="219">
        <v>36</v>
      </c>
      <c r="G26" s="286"/>
      <c r="H26" s="304"/>
      <c r="I26" s="185"/>
      <c r="J26" s="185"/>
      <c r="K26" s="186">
        <v>36</v>
      </c>
      <c r="L26" s="185"/>
      <c r="M26" s="185"/>
      <c r="N26" s="185"/>
      <c r="O26" s="305"/>
      <c r="P26" s="318"/>
      <c r="Q26" s="191"/>
      <c r="R26" s="191"/>
      <c r="S26" s="191"/>
      <c r="T26" s="191"/>
      <c r="U26" s="232"/>
      <c r="V26" s="191"/>
      <c r="W26" s="192"/>
      <c r="X26" s="191"/>
      <c r="Y26" s="191"/>
      <c r="Z26" s="191"/>
      <c r="AA26" s="319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170" customFormat="1" ht="12" customHeight="1" x14ac:dyDescent="0.25">
      <c r="A27" s="273">
        <v>44817</v>
      </c>
      <c r="B27" s="231" t="s">
        <v>582</v>
      </c>
      <c r="C27" s="274" t="s">
        <v>145</v>
      </c>
      <c r="D27" s="285"/>
      <c r="E27" s="218">
        <v>200</v>
      </c>
      <c r="F27" s="219"/>
      <c r="G27" s="286"/>
      <c r="H27" s="304"/>
      <c r="I27" s="185"/>
      <c r="J27" s="185"/>
      <c r="K27" s="186"/>
      <c r="L27" s="185"/>
      <c r="M27" s="185"/>
      <c r="N27" s="185"/>
      <c r="O27" s="305"/>
      <c r="P27" s="318"/>
      <c r="Q27" s="191"/>
      <c r="R27" s="191"/>
      <c r="S27" s="191"/>
      <c r="T27" s="191">
        <v>200</v>
      </c>
      <c r="U27" s="232"/>
      <c r="V27" s="191"/>
      <c r="W27" s="192"/>
      <c r="X27" s="191"/>
      <c r="Y27" s="191"/>
      <c r="Z27" s="191"/>
      <c r="AA27" s="319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170" customFormat="1" ht="12" customHeight="1" x14ac:dyDescent="0.25">
      <c r="A28" s="273">
        <v>44818</v>
      </c>
      <c r="B28" s="231" t="s">
        <v>583</v>
      </c>
      <c r="C28" s="274" t="s">
        <v>145</v>
      </c>
      <c r="D28" s="285"/>
      <c r="E28" s="218">
        <v>45</v>
      </c>
      <c r="F28" s="219"/>
      <c r="G28" s="286"/>
      <c r="H28" s="304"/>
      <c r="I28" s="185"/>
      <c r="J28" s="185"/>
      <c r="K28" s="186"/>
      <c r="L28" s="185"/>
      <c r="M28" s="185"/>
      <c r="N28" s="185"/>
      <c r="O28" s="305"/>
      <c r="P28" s="318"/>
      <c r="Q28" s="191"/>
      <c r="R28" s="191"/>
      <c r="S28" s="191"/>
      <c r="T28" s="191">
        <v>45</v>
      </c>
      <c r="U28" s="232"/>
      <c r="V28" s="191"/>
      <c r="W28" s="192"/>
      <c r="X28" s="191"/>
      <c r="Y28" s="191"/>
      <c r="Z28" s="191"/>
      <c r="AA28" s="319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170" customFormat="1" ht="12" customHeight="1" x14ac:dyDescent="0.25">
      <c r="A29" s="273">
        <v>44820</v>
      </c>
      <c r="B29" s="231" t="s">
        <v>584</v>
      </c>
      <c r="C29" s="274" t="s">
        <v>145</v>
      </c>
      <c r="D29" s="285"/>
      <c r="E29" s="218">
        <v>72</v>
      </c>
      <c r="F29" s="219"/>
      <c r="G29" s="286"/>
      <c r="H29" s="304"/>
      <c r="I29" s="185"/>
      <c r="J29" s="185"/>
      <c r="K29" s="186"/>
      <c r="L29" s="185"/>
      <c r="M29" s="185"/>
      <c r="N29" s="185"/>
      <c r="O29" s="305"/>
      <c r="P29" s="318"/>
      <c r="Q29" s="191"/>
      <c r="R29" s="191"/>
      <c r="S29" s="191"/>
      <c r="T29" s="191">
        <v>72</v>
      </c>
      <c r="U29" s="232"/>
      <c r="V29" s="191"/>
      <c r="W29" s="192"/>
      <c r="X29" s="191"/>
      <c r="Y29" s="191"/>
      <c r="Z29" s="191"/>
      <c r="AA29" s="319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170" customFormat="1" ht="12" customHeight="1" x14ac:dyDescent="0.25">
      <c r="A30" s="273">
        <v>44821</v>
      </c>
      <c r="B30" s="231" t="s">
        <v>585</v>
      </c>
      <c r="C30" s="274" t="s">
        <v>145</v>
      </c>
      <c r="D30" s="285"/>
      <c r="E30" s="218">
        <v>344.23</v>
      </c>
      <c r="F30" s="219"/>
      <c r="G30" s="286"/>
      <c r="H30" s="304"/>
      <c r="I30" s="185"/>
      <c r="J30" s="185"/>
      <c r="K30" s="186"/>
      <c r="L30" s="185"/>
      <c r="M30" s="185"/>
      <c r="N30" s="185"/>
      <c r="O30" s="305"/>
      <c r="P30" s="318"/>
      <c r="Q30" s="191"/>
      <c r="R30" s="191"/>
      <c r="S30" s="191"/>
      <c r="T30" s="191">
        <v>344.23</v>
      </c>
      <c r="U30" s="232"/>
      <c r="V30" s="191"/>
      <c r="W30" s="192"/>
      <c r="X30" s="191"/>
      <c r="Y30" s="191"/>
      <c r="Z30" s="191"/>
      <c r="AA30" s="319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170" customFormat="1" ht="12" customHeight="1" x14ac:dyDescent="0.25">
      <c r="A31" s="273">
        <v>44821</v>
      </c>
      <c r="B31" s="231" t="s">
        <v>586</v>
      </c>
      <c r="C31" s="274" t="s">
        <v>145</v>
      </c>
      <c r="D31" s="285"/>
      <c r="E31" s="218"/>
      <c r="F31" s="219">
        <v>78.2</v>
      </c>
      <c r="G31" s="286"/>
      <c r="H31" s="304"/>
      <c r="I31" s="185"/>
      <c r="J31" s="185"/>
      <c r="K31" s="186">
        <v>78.2</v>
      </c>
      <c r="L31" s="185"/>
      <c r="M31" s="185"/>
      <c r="N31" s="185"/>
      <c r="O31" s="305"/>
      <c r="P31" s="318"/>
      <c r="Q31" s="191"/>
      <c r="R31" s="191"/>
      <c r="S31" s="191"/>
      <c r="T31" s="191"/>
      <c r="U31" s="232"/>
      <c r="V31" s="191"/>
      <c r="W31" s="192"/>
      <c r="X31" s="191"/>
      <c r="Y31" s="191"/>
      <c r="Z31" s="191"/>
      <c r="AA31" s="319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170" customFormat="1" ht="12" customHeight="1" x14ac:dyDescent="0.25">
      <c r="A32" s="273">
        <v>44821</v>
      </c>
      <c r="B32" s="231" t="s">
        <v>587</v>
      </c>
      <c r="C32" s="274" t="s">
        <v>145</v>
      </c>
      <c r="D32" s="285"/>
      <c r="E32" s="218"/>
      <c r="F32" s="219">
        <v>90</v>
      </c>
      <c r="G32" s="286"/>
      <c r="H32" s="304"/>
      <c r="I32" s="185"/>
      <c r="J32" s="185"/>
      <c r="K32" s="186">
        <v>90</v>
      </c>
      <c r="L32" s="185"/>
      <c r="M32" s="185"/>
      <c r="N32" s="185"/>
      <c r="O32" s="305"/>
      <c r="P32" s="318"/>
      <c r="Q32" s="191"/>
      <c r="R32" s="191"/>
      <c r="S32" s="191"/>
      <c r="T32" s="191"/>
      <c r="U32" s="232"/>
      <c r="V32" s="191"/>
      <c r="W32" s="192"/>
      <c r="X32" s="191"/>
      <c r="Y32" s="191"/>
      <c r="Z32" s="191"/>
      <c r="AA32" s="319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170" customFormat="1" ht="12" customHeight="1" x14ac:dyDescent="0.25">
      <c r="A33" s="273">
        <v>44821</v>
      </c>
      <c r="B33" s="231" t="s">
        <v>588</v>
      </c>
      <c r="C33" s="274" t="s">
        <v>145</v>
      </c>
      <c r="D33" s="285"/>
      <c r="E33" s="218"/>
      <c r="F33" s="219">
        <v>2.2000000000000002</v>
      </c>
      <c r="G33" s="286"/>
      <c r="H33" s="304"/>
      <c r="I33" s="185"/>
      <c r="J33" s="185"/>
      <c r="K33" s="186">
        <v>2.2000000000000002</v>
      </c>
      <c r="L33" s="185"/>
      <c r="M33" s="185"/>
      <c r="N33" s="185"/>
      <c r="O33" s="305"/>
      <c r="P33" s="318"/>
      <c r="Q33" s="191"/>
      <c r="R33" s="191"/>
      <c r="S33" s="191"/>
      <c r="T33" s="191"/>
      <c r="U33" s="232"/>
      <c r="V33" s="191"/>
      <c r="W33" s="192"/>
      <c r="X33" s="191"/>
      <c r="Y33" s="191"/>
      <c r="Z33" s="191"/>
      <c r="AA33" s="319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170" customFormat="1" ht="12" customHeight="1" x14ac:dyDescent="0.25">
      <c r="A34" s="273">
        <v>44821</v>
      </c>
      <c r="B34" s="231" t="s">
        <v>589</v>
      </c>
      <c r="C34" s="274" t="s">
        <v>145</v>
      </c>
      <c r="D34" s="285"/>
      <c r="E34" s="218"/>
      <c r="F34" s="219">
        <v>18</v>
      </c>
      <c r="G34" s="286"/>
      <c r="H34" s="304"/>
      <c r="I34" s="185"/>
      <c r="J34" s="185"/>
      <c r="K34" s="186">
        <v>18</v>
      </c>
      <c r="L34" s="185"/>
      <c r="M34" s="185"/>
      <c r="N34" s="185"/>
      <c r="O34" s="305"/>
      <c r="P34" s="318"/>
      <c r="Q34" s="191"/>
      <c r="R34" s="191"/>
      <c r="S34" s="191"/>
      <c r="T34" s="191"/>
      <c r="U34" s="232"/>
      <c r="V34" s="191"/>
      <c r="W34" s="192"/>
      <c r="X34" s="191"/>
      <c r="Y34" s="191"/>
      <c r="Z34" s="191"/>
      <c r="AA34" s="319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170" customFormat="1" ht="12" customHeight="1" x14ac:dyDescent="0.25">
      <c r="A35" s="273">
        <v>44821</v>
      </c>
      <c r="B35" s="231" t="s">
        <v>590</v>
      </c>
      <c r="C35" s="274" t="s">
        <v>145</v>
      </c>
      <c r="D35" s="285">
        <v>96.9</v>
      </c>
      <c r="E35" s="218"/>
      <c r="F35" s="219"/>
      <c r="G35" s="286"/>
      <c r="H35" s="304"/>
      <c r="I35" s="185"/>
      <c r="J35" s="185"/>
      <c r="K35" s="186">
        <v>96.9</v>
      </c>
      <c r="L35" s="185"/>
      <c r="M35" s="185"/>
      <c r="N35" s="185"/>
      <c r="O35" s="305"/>
      <c r="P35" s="318"/>
      <c r="Q35" s="191"/>
      <c r="R35" s="191"/>
      <c r="S35" s="191"/>
      <c r="T35" s="191"/>
      <c r="U35" s="232"/>
      <c r="V35" s="191"/>
      <c r="W35" s="192"/>
      <c r="X35" s="191"/>
      <c r="Y35" s="191"/>
      <c r="Z35" s="191"/>
      <c r="AA35" s="319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170" customFormat="1" ht="12" customHeight="1" x14ac:dyDescent="0.25">
      <c r="A36" s="273">
        <v>44821</v>
      </c>
      <c r="B36" s="231" t="s">
        <v>591</v>
      </c>
      <c r="C36" s="274" t="s">
        <v>145</v>
      </c>
      <c r="D36" s="285"/>
      <c r="E36" s="218"/>
      <c r="F36" s="219">
        <v>70.5</v>
      </c>
      <c r="G36" s="286"/>
      <c r="H36" s="304"/>
      <c r="I36" s="185"/>
      <c r="J36" s="185"/>
      <c r="K36" s="186">
        <v>70.5</v>
      </c>
      <c r="L36" s="185"/>
      <c r="M36" s="185"/>
      <c r="N36" s="185"/>
      <c r="O36" s="305"/>
      <c r="P36" s="318"/>
      <c r="Q36" s="191"/>
      <c r="R36" s="191"/>
      <c r="S36" s="191"/>
      <c r="T36" s="191"/>
      <c r="U36" s="232"/>
      <c r="V36" s="191"/>
      <c r="W36" s="192"/>
      <c r="X36" s="191"/>
      <c r="Y36" s="191"/>
      <c r="Z36" s="191"/>
      <c r="AA36" s="319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170" customFormat="1" ht="12" customHeight="1" x14ac:dyDescent="0.25">
      <c r="A37" s="273">
        <v>44821</v>
      </c>
      <c r="B37" s="231" t="s">
        <v>592</v>
      </c>
      <c r="C37" s="274" t="s">
        <v>145</v>
      </c>
      <c r="D37" s="285"/>
      <c r="E37" s="218"/>
      <c r="F37" s="219">
        <v>102</v>
      </c>
      <c r="G37" s="286"/>
      <c r="H37" s="304"/>
      <c r="I37" s="185"/>
      <c r="J37" s="185"/>
      <c r="K37" s="186">
        <v>102</v>
      </c>
      <c r="L37" s="185"/>
      <c r="M37" s="185"/>
      <c r="N37" s="185"/>
      <c r="O37" s="305"/>
      <c r="P37" s="318"/>
      <c r="Q37" s="191"/>
      <c r="R37" s="191"/>
      <c r="S37" s="191"/>
      <c r="T37" s="191"/>
      <c r="U37" s="232"/>
      <c r="V37" s="191"/>
      <c r="W37" s="192"/>
      <c r="X37" s="191"/>
      <c r="Y37" s="191"/>
      <c r="Z37" s="191"/>
      <c r="AA37" s="319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170" customFormat="1" ht="12" customHeight="1" x14ac:dyDescent="0.25">
      <c r="A38" s="273">
        <v>44821</v>
      </c>
      <c r="B38" s="231" t="s">
        <v>593</v>
      </c>
      <c r="C38" s="274" t="s">
        <v>145</v>
      </c>
      <c r="D38" s="285"/>
      <c r="E38" s="218"/>
      <c r="F38" s="219">
        <v>32</v>
      </c>
      <c r="G38" s="286"/>
      <c r="H38" s="304"/>
      <c r="I38" s="185"/>
      <c r="J38" s="185"/>
      <c r="K38" s="186">
        <v>32</v>
      </c>
      <c r="L38" s="185"/>
      <c r="M38" s="185"/>
      <c r="N38" s="185"/>
      <c r="O38" s="305"/>
      <c r="P38" s="318"/>
      <c r="Q38" s="191"/>
      <c r="R38" s="191"/>
      <c r="S38" s="191"/>
      <c r="T38" s="191"/>
      <c r="U38" s="232"/>
      <c r="V38" s="191"/>
      <c r="W38" s="192"/>
      <c r="X38" s="191"/>
      <c r="Y38" s="191"/>
      <c r="Z38" s="191"/>
      <c r="AA38" s="319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170" customFormat="1" ht="12" customHeight="1" x14ac:dyDescent="0.25">
      <c r="A39" s="273">
        <v>44821</v>
      </c>
      <c r="B39" s="231" t="s">
        <v>594</v>
      </c>
      <c r="C39" s="274" t="s">
        <v>145</v>
      </c>
      <c r="D39" s="285"/>
      <c r="E39" s="218"/>
      <c r="F39" s="219">
        <v>11</v>
      </c>
      <c r="G39" s="286"/>
      <c r="H39" s="304"/>
      <c r="I39" s="185"/>
      <c r="J39" s="185"/>
      <c r="K39" s="186">
        <v>11</v>
      </c>
      <c r="L39" s="185"/>
      <c r="M39" s="185"/>
      <c r="N39" s="185"/>
      <c r="O39" s="305"/>
      <c r="P39" s="318"/>
      <c r="Q39" s="191"/>
      <c r="R39" s="191"/>
      <c r="S39" s="191"/>
      <c r="T39" s="191"/>
      <c r="U39" s="232"/>
      <c r="V39" s="191"/>
      <c r="W39" s="192"/>
      <c r="X39" s="191"/>
      <c r="Y39" s="191"/>
      <c r="Z39" s="191"/>
      <c r="AA39" s="319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170" customFormat="1" ht="12" customHeight="1" x14ac:dyDescent="0.25">
      <c r="A40" s="273">
        <v>44821</v>
      </c>
      <c r="B40" s="231" t="s">
        <v>595</v>
      </c>
      <c r="C40" s="274" t="s">
        <v>145</v>
      </c>
      <c r="D40" s="285"/>
      <c r="E40" s="218"/>
      <c r="F40" s="219">
        <v>108</v>
      </c>
      <c r="G40" s="286"/>
      <c r="H40" s="304"/>
      <c r="I40" s="185"/>
      <c r="J40" s="185"/>
      <c r="K40" s="186">
        <v>108</v>
      </c>
      <c r="L40" s="185"/>
      <c r="M40" s="185"/>
      <c r="N40" s="185"/>
      <c r="O40" s="305"/>
      <c r="P40" s="318"/>
      <c r="Q40" s="191"/>
      <c r="R40" s="191"/>
      <c r="S40" s="191"/>
      <c r="T40" s="191"/>
      <c r="U40" s="232"/>
      <c r="V40" s="191"/>
      <c r="W40" s="192"/>
      <c r="X40" s="191"/>
      <c r="Y40" s="191"/>
      <c r="Z40" s="191"/>
      <c r="AA40" s="319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170" customFormat="1" ht="12" customHeight="1" x14ac:dyDescent="0.25">
      <c r="A41" s="273">
        <v>44823</v>
      </c>
      <c r="B41" s="231" t="s">
        <v>196</v>
      </c>
      <c r="C41" s="274" t="s">
        <v>145</v>
      </c>
      <c r="D41" s="285">
        <v>60</v>
      </c>
      <c r="E41" s="218"/>
      <c r="F41" s="219"/>
      <c r="G41" s="286"/>
      <c r="H41" s="304"/>
      <c r="I41" s="185">
        <v>60</v>
      </c>
      <c r="J41" s="185"/>
      <c r="K41" s="186"/>
      <c r="L41" s="185"/>
      <c r="M41" s="185"/>
      <c r="N41" s="185"/>
      <c r="O41" s="305"/>
      <c r="P41" s="318"/>
      <c r="Q41" s="191"/>
      <c r="R41" s="191"/>
      <c r="S41" s="191"/>
      <c r="T41" s="191"/>
      <c r="U41" s="232"/>
      <c r="V41" s="191"/>
      <c r="W41" s="192"/>
      <c r="X41" s="191"/>
      <c r="Y41" s="191"/>
      <c r="Z41" s="191"/>
      <c r="AA41" s="319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44824</v>
      </c>
      <c r="B42" s="231" t="s">
        <v>596</v>
      </c>
      <c r="C42" s="274" t="s">
        <v>145</v>
      </c>
      <c r="D42" s="285">
        <v>138</v>
      </c>
      <c r="E42" s="218"/>
      <c r="F42" s="219"/>
      <c r="G42" s="286"/>
      <c r="H42" s="304"/>
      <c r="I42" s="185">
        <v>138</v>
      </c>
      <c r="J42" s="185"/>
      <c r="K42" s="186"/>
      <c r="L42" s="185"/>
      <c r="M42" s="185"/>
      <c r="N42" s="185"/>
      <c r="O42" s="305"/>
      <c r="P42" s="318"/>
      <c r="Q42" s="191"/>
      <c r="R42" s="191"/>
      <c r="S42" s="191"/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170" customFormat="1" ht="12" customHeight="1" x14ac:dyDescent="0.25">
      <c r="A43" s="273">
        <v>44824</v>
      </c>
      <c r="B43" s="231" t="s">
        <v>231</v>
      </c>
      <c r="C43" s="274" t="s">
        <v>145</v>
      </c>
      <c r="D43" s="285">
        <v>80</v>
      </c>
      <c r="E43" s="218"/>
      <c r="F43" s="219"/>
      <c r="G43" s="286"/>
      <c r="H43" s="304"/>
      <c r="I43" s="185">
        <v>80</v>
      </c>
      <c r="J43" s="185"/>
      <c r="K43" s="186"/>
      <c r="L43" s="185"/>
      <c r="M43" s="185"/>
      <c r="N43" s="185"/>
      <c r="O43" s="305"/>
      <c r="P43" s="318"/>
      <c r="Q43" s="191"/>
      <c r="R43" s="191"/>
      <c r="S43" s="191"/>
      <c r="T43" s="191"/>
      <c r="U43" s="232"/>
      <c r="V43" s="191"/>
      <c r="W43" s="192"/>
      <c r="X43" s="191"/>
      <c r="Y43" s="191"/>
      <c r="Z43" s="191"/>
      <c r="AA43" s="319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170" customFormat="1" ht="12" customHeight="1" x14ac:dyDescent="0.25">
      <c r="A44" s="273">
        <v>44824</v>
      </c>
      <c r="B44" s="231" t="s">
        <v>597</v>
      </c>
      <c r="C44" s="274" t="s">
        <v>145</v>
      </c>
      <c r="D44" s="285">
        <v>820.2</v>
      </c>
      <c r="E44" s="218"/>
      <c r="F44" s="219"/>
      <c r="G44" s="286">
        <v>820.2</v>
      </c>
      <c r="H44" s="304"/>
      <c r="I44" s="185"/>
      <c r="J44" s="185"/>
      <c r="K44" s="186"/>
      <c r="L44" s="185"/>
      <c r="M44" s="185"/>
      <c r="N44" s="185"/>
      <c r="O44" s="305"/>
      <c r="P44" s="318"/>
      <c r="Q44" s="191"/>
      <c r="R44" s="191"/>
      <c r="S44" s="191"/>
      <c r="T44" s="191"/>
      <c r="U44" s="232"/>
      <c r="V44" s="191"/>
      <c r="W44" s="192"/>
      <c r="X44" s="191"/>
      <c r="Y44" s="191"/>
      <c r="Z44" s="191"/>
      <c r="AA44" s="319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170" customFormat="1" ht="12" customHeight="1" x14ac:dyDescent="0.25">
      <c r="A45" s="273">
        <v>44828</v>
      </c>
      <c r="B45" s="231" t="s">
        <v>604</v>
      </c>
      <c r="C45" s="274" t="s">
        <v>145</v>
      </c>
      <c r="D45" s="285"/>
      <c r="E45" s="218"/>
      <c r="F45" s="219">
        <v>22.6</v>
      </c>
      <c r="G45" s="286"/>
      <c r="H45" s="304"/>
      <c r="I45" s="185"/>
      <c r="J45" s="185"/>
      <c r="K45" s="186">
        <v>22.6</v>
      </c>
      <c r="L45" s="185"/>
      <c r="M45" s="185"/>
      <c r="N45" s="185"/>
      <c r="O45" s="305"/>
      <c r="P45" s="318"/>
      <c r="Q45" s="191"/>
      <c r="R45" s="191"/>
      <c r="S45" s="191"/>
      <c r="T45" s="191"/>
      <c r="U45" s="232"/>
      <c r="V45" s="191"/>
      <c r="W45" s="192"/>
      <c r="X45" s="191"/>
      <c r="Y45" s="191"/>
      <c r="Z45" s="191"/>
      <c r="AA45" s="319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170" customFormat="1" ht="12" customHeight="1" x14ac:dyDescent="0.25">
      <c r="A46" s="273">
        <v>44828</v>
      </c>
      <c r="B46" s="231" t="s">
        <v>605</v>
      </c>
      <c r="C46" s="274" t="s">
        <v>145</v>
      </c>
      <c r="D46" s="285"/>
      <c r="E46" s="218"/>
      <c r="F46" s="219">
        <v>38</v>
      </c>
      <c r="G46" s="286"/>
      <c r="H46" s="304"/>
      <c r="I46" s="185"/>
      <c r="J46" s="185"/>
      <c r="K46" s="186">
        <v>38</v>
      </c>
      <c r="L46" s="185"/>
      <c r="M46" s="185"/>
      <c r="N46" s="185"/>
      <c r="O46" s="305"/>
      <c r="P46" s="318"/>
      <c r="Q46" s="191"/>
      <c r="R46" s="191"/>
      <c r="S46" s="191"/>
      <c r="T46" s="191"/>
      <c r="U46" s="232"/>
      <c r="V46" s="191"/>
      <c r="W46" s="192"/>
      <c r="X46" s="191"/>
      <c r="Y46" s="191"/>
      <c r="Z46" s="191"/>
      <c r="AA46" s="319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170" customFormat="1" ht="12" customHeight="1" x14ac:dyDescent="0.25">
      <c r="A47" s="273">
        <v>44828</v>
      </c>
      <c r="B47" s="231" t="s">
        <v>606</v>
      </c>
      <c r="C47" s="274" t="s">
        <v>145</v>
      </c>
      <c r="D47" s="285">
        <v>44</v>
      </c>
      <c r="E47" s="218"/>
      <c r="F47" s="219"/>
      <c r="G47" s="286"/>
      <c r="H47" s="304"/>
      <c r="I47" s="185"/>
      <c r="J47" s="185"/>
      <c r="K47" s="186">
        <v>44</v>
      </c>
      <c r="L47" s="185"/>
      <c r="M47" s="185"/>
      <c r="N47" s="185"/>
      <c r="O47" s="305"/>
      <c r="P47" s="318"/>
      <c r="Q47" s="191"/>
      <c r="R47" s="191"/>
      <c r="S47" s="191"/>
      <c r="T47" s="191"/>
      <c r="U47" s="232"/>
      <c r="V47" s="191"/>
      <c r="W47" s="192"/>
      <c r="X47" s="191"/>
      <c r="Y47" s="191"/>
      <c r="Z47" s="191"/>
      <c r="AA47" s="319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170" customFormat="1" ht="12" customHeight="1" x14ac:dyDescent="0.25">
      <c r="A48" s="273">
        <v>44828</v>
      </c>
      <c r="B48" s="231" t="s">
        <v>607</v>
      </c>
      <c r="C48" s="274" t="s">
        <v>145</v>
      </c>
      <c r="D48" s="285"/>
      <c r="E48" s="218"/>
      <c r="F48" s="219">
        <v>51</v>
      </c>
      <c r="G48" s="286"/>
      <c r="H48" s="304"/>
      <c r="I48" s="185"/>
      <c r="J48" s="185"/>
      <c r="K48" s="186">
        <v>51</v>
      </c>
      <c r="L48" s="185"/>
      <c r="M48" s="185"/>
      <c r="N48" s="185"/>
      <c r="O48" s="305"/>
      <c r="P48" s="318"/>
      <c r="Q48" s="191"/>
      <c r="R48" s="191"/>
      <c r="S48" s="191"/>
      <c r="T48" s="191"/>
      <c r="U48" s="232"/>
      <c r="V48" s="191"/>
      <c r="W48" s="192"/>
      <c r="X48" s="191"/>
      <c r="Y48" s="191"/>
      <c r="Z48" s="191"/>
      <c r="AA48" s="319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170" customFormat="1" ht="12" customHeight="1" x14ac:dyDescent="0.25">
      <c r="A49" s="273">
        <v>44828</v>
      </c>
      <c r="B49" s="231" t="s">
        <v>608</v>
      </c>
      <c r="C49" s="274" t="s">
        <v>145</v>
      </c>
      <c r="D49" s="285"/>
      <c r="E49" s="218"/>
      <c r="F49" s="219">
        <v>52</v>
      </c>
      <c r="G49" s="286"/>
      <c r="H49" s="304"/>
      <c r="I49" s="185"/>
      <c r="J49" s="185"/>
      <c r="K49" s="186">
        <v>52</v>
      </c>
      <c r="L49" s="185"/>
      <c r="M49" s="185"/>
      <c r="N49" s="185"/>
      <c r="O49" s="305"/>
      <c r="P49" s="318"/>
      <c r="Q49" s="191"/>
      <c r="R49" s="191"/>
      <c r="S49" s="191"/>
      <c r="T49" s="191"/>
      <c r="U49" s="232"/>
      <c r="V49" s="191"/>
      <c r="W49" s="192"/>
      <c r="X49" s="191"/>
      <c r="Y49" s="191"/>
      <c r="Z49" s="191"/>
      <c r="AA49" s="319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44828</v>
      </c>
      <c r="B50" s="231" t="s">
        <v>604</v>
      </c>
      <c r="C50" s="274" t="s">
        <v>145</v>
      </c>
      <c r="D50" s="285"/>
      <c r="E50" s="218"/>
      <c r="F50" s="219">
        <v>6</v>
      </c>
      <c r="G50" s="286"/>
      <c r="H50" s="304"/>
      <c r="I50" s="185"/>
      <c r="J50" s="185"/>
      <c r="K50" s="186">
        <v>6</v>
      </c>
      <c r="L50" s="185"/>
      <c r="M50" s="185"/>
      <c r="N50" s="185"/>
      <c r="O50" s="305"/>
      <c r="P50" s="318"/>
      <c r="Q50" s="191"/>
      <c r="R50" s="191"/>
      <c r="S50" s="191"/>
      <c r="T50" s="191"/>
      <c r="U50" s="232"/>
      <c r="V50" s="191"/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170" customFormat="1" ht="12" customHeight="1" x14ac:dyDescent="0.25">
      <c r="A51" s="273">
        <v>44828</v>
      </c>
      <c r="B51" s="231" t="s">
        <v>609</v>
      </c>
      <c r="C51" s="274" t="s">
        <v>145</v>
      </c>
      <c r="D51" s="285">
        <v>52</v>
      </c>
      <c r="E51" s="218"/>
      <c r="F51" s="219"/>
      <c r="G51" s="286"/>
      <c r="H51" s="304"/>
      <c r="I51" s="185"/>
      <c r="J51" s="185"/>
      <c r="K51" s="186">
        <v>52</v>
      </c>
      <c r="L51" s="185"/>
      <c r="M51" s="185"/>
      <c r="N51" s="185"/>
      <c r="O51" s="305"/>
      <c r="P51" s="318"/>
      <c r="Q51" s="191"/>
      <c r="R51" s="191"/>
      <c r="S51" s="191"/>
      <c r="T51" s="191"/>
      <c r="U51" s="232"/>
      <c r="V51" s="191"/>
      <c r="W51" s="192"/>
      <c r="X51" s="191"/>
      <c r="Y51" s="191"/>
      <c r="Z51" s="191"/>
      <c r="AA51" s="319"/>
      <c r="AB51" s="168"/>
      <c r="AC51" s="168"/>
      <c r="AD51" s="168"/>
      <c r="AE51" s="168"/>
      <c r="AF51" s="168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</row>
    <row r="52" spans="1:115" s="170" customFormat="1" ht="12" customHeight="1" x14ac:dyDescent="0.25">
      <c r="A52" s="273">
        <v>44828</v>
      </c>
      <c r="B52" s="231" t="s">
        <v>600</v>
      </c>
      <c r="C52" s="274" t="s">
        <v>145</v>
      </c>
      <c r="D52" s="285">
        <v>121</v>
      </c>
      <c r="E52" s="218"/>
      <c r="F52" s="219"/>
      <c r="G52" s="286"/>
      <c r="H52" s="304"/>
      <c r="I52" s="185"/>
      <c r="J52" s="185"/>
      <c r="K52" s="186">
        <v>121</v>
      </c>
      <c r="L52" s="185"/>
      <c r="M52" s="185"/>
      <c r="N52" s="185"/>
      <c r="O52" s="305"/>
      <c r="P52" s="318"/>
      <c r="Q52" s="191"/>
      <c r="R52" s="191"/>
      <c r="S52" s="191"/>
      <c r="T52" s="191"/>
      <c r="U52" s="232"/>
      <c r="V52" s="191"/>
      <c r="W52" s="192"/>
      <c r="X52" s="191"/>
      <c r="Y52" s="191"/>
      <c r="Z52" s="191"/>
      <c r="AA52" s="319"/>
      <c r="AB52" s="168"/>
      <c r="AC52" s="168"/>
      <c r="AD52" s="168"/>
      <c r="AE52" s="168"/>
      <c r="AF52" s="168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</row>
    <row r="53" spans="1:115" s="170" customFormat="1" ht="12" customHeight="1" x14ac:dyDescent="0.25">
      <c r="A53" s="273">
        <v>44828</v>
      </c>
      <c r="B53" s="231" t="s">
        <v>601</v>
      </c>
      <c r="C53" s="274" t="s">
        <v>145</v>
      </c>
      <c r="D53" s="285"/>
      <c r="E53" s="218"/>
      <c r="F53" s="219">
        <v>48</v>
      </c>
      <c r="G53" s="286"/>
      <c r="H53" s="304"/>
      <c r="I53" s="185"/>
      <c r="J53" s="185"/>
      <c r="K53" s="186">
        <v>48</v>
      </c>
      <c r="L53" s="185"/>
      <c r="M53" s="185"/>
      <c r="N53" s="185"/>
      <c r="O53" s="305"/>
      <c r="P53" s="318"/>
      <c r="Q53" s="191"/>
      <c r="R53" s="191"/>
      <c r="S53" s="191"/>
      <c r="T53" s="191"/>
      <c r="U53" s="232"/>
      <c r="V53" s="191"/>
      <c r="W53" s="192"/>
      <c r="X53" s="191"/>
      <c r="Y53" s="191"/>
      <c r="Z53" s="191"/>
      <c r="AA53" s="319"/>
      <c r="AB53" s="168"/>
      <c r="AC53" s="168"/>
      <c r="AD53" s="168"/>
      <c r="AE53" s="168"/>
      <c r="AF53" s="168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</row>
    <row r="54" spans="1:115" s="170" customFormat="1" ht="12" customHeight="1" x14ac:dyDescent="0.25">
      <c r="A54" s="273">
        <v>44828</v>
      </c>
      <c r="B54" s="231" t="s">
        <v>602</v>
      </c>
      <c r="C54" s="274" t="s">
        <v>145</v>
      </c>
      <c r="D54" s="285"/>
      <c r="E54" s="218"/>
      <c r="F54" s="219">
        <v>302</v>
      </c>
      <c r="G54" s="286"/>
      <c r="H54" s="304"/>
      <c r="I54" s="185"/>
      <c r="J54" s="185"/>
      <c r="K54" s="186">
        <v>302</v>
      </c>
      <c r="L54" s="185"/>
      <c r="M54" s="185"/>
      <c r="N54" s="185"/>
      <c r="O54" s="305"/>
      <c r="P54" s="318"/>
      <c r="Q54" s="191"/>
      <c r="R54" s="191"/>
      <c r="S54" s="191"/>
      <c r="T54" s="191"/>
      <c r="U54" s="232"/>
      <c r="V54" s="191"/>
      <c r="W54" s="192"/>
      <c r="X54" s="191"/>
      <c r="Y54" s="191"/>
      <c r="Z54" s="191"/>
      <c r="AA54" s="319"/>
      <c r="AB54" s="168"/>
      <c r="AC54" s="168"/>
      <c r="AD54" s="168"/>
      <c r="AE54" s="168"/>
      <c r="AF54" s="168"/>
      <c r="AG54" s="168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</row>
    <row r="55" spans="1:115" s="170" customFormat="1" ht="12" customHeight="1" x14ac:dyDescent="0.25">
      <c r="A55" s="273">
        <v>44828</v>
      </c>
      <c r="B55" s="231" t="s">
        <v>603</v>
      </c>
      <c r="C55" s="274" t="s">
        <v>145</v>
      </c>
      <c r="D55" s="285"/>
      <c r="E55" s="218"/>
      <c r="F55" s="219">
        <v>28</v>
      </c>
      <c r="G55" s="286"/>
      <c r="H55" s="304"/>
      <c r="I55" s="185"/>
      <c r="J55" s="185"/>
      <c r="K55" s="186">
        <v>28</v>
      </c>
      <c r="L55" s="185"/>
      <c r="M55" s="185"/>
      <c r="N55" s="185"/>
      <c r="O55" s="305"/>
      <c r="P55" s="318"/>
      <c r="Q55" s="191"/>
      <c r="R55" s="191"/>
      <c r="S55" s="191"/>
      <c r="T55" s="191"/>
      <c r="U55" s="232"/>
      <c r="V55" s="191"/>
      <c r="W55" s="192"/>
      <c r="X55" s="191"/>
      <c r="Y55" s="191"/>
      <c r="Z55" s="191"/>
      <c r="AA55" s="319"/>
      <c r="AB55" s="168"/>
      <c r="AC55" s="168"/>
      <c r="AD55" s="168"/>
      <c r="AE55" s="168"/>
      <c r="AF55" s="168"/>
      <c r="AG55" s="168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</row>
    <row r="56" spans="1:115" s="170" customFormat="1" ht="12" customHeight="1" x14ac:dyDescent="0.25">
      <c r="A56" s="273">
        <v>44830</v>
      </c>
      <c r="B56" s="231" t="s">
        <v>436</v>
      </c>
      <c r="C56" s="274" t="s">
        <v>145</v>
      </c>
      <c r="D56" s="285">
        <v>150.51</v>
      </c>
      <c r="E56" s="218"/>
      <c r="F56" s="219"/>
      <c r="G56" s="286"/>
      <c r="H56" s="304"/>
      <c r="I56" s="185">
        <v>150.51</v>
      </c>
      <c r="J56" s="185"/>
      <c r="K56" s="186"/>
      <c r="L56" s="185"/>
      <c r="M56" s="185"/>
      <c r="N56" s="185"/>
      <c r="O56" s="305"/>
      <c r="P56" s="318"/>
      <c r="Q56" s="191"/>
      <c r="R56" s="191"/>
      <c r="S56" s="191"/>
      <c r="T56" s="191"/>
      <c r="U56" s="232"/>
      <c r="V56" s="191"/>
      <c r="W56" s="192"/>
      <c r="X56" s="191"/>
      <c r="Y56" s="191"/>
      <c r="Z56" s="191"/>
      <c r="AA56" s="319"/>
      <c r="AB56" s="168"/>
      <c r="AC56" s="168"/>
      <c r="AD56" s="168"/>
      <c r="AE56" s="168"/>
      <c r="AF56" s="168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</row>
    <row r="57" spans="1:115" s="170" customFormat="1" ht="12" customHeight="1" x14ac:dyDescent="0.25">
      <c r="A57" s="273">
        <v>44832</v>
      </c>
      <c r="B57" s="231" t="s">
        <v>598</v>
      </c>
      <c r="C57" s="274" t="s">
        <v>145</v>
      </c>
      <c r="D57" s="285">
        <v>400</v>
      </c>
      <c r="E57" s="218"/>
      <c r="F57" s="219"/>
      <c r="G57" s="286"/>
      <c r="H57" s="304"/>
      <c r="I57" s="185">
        <v>400</v>
      </c>
      <c r="J57" s="185"/>
      <c r="K57" s="186"/>
      <c r="L57" s="185"/>
      <c r="M57" s="185"/>
      <c r="N57" s="185"/>
      <c r="O57" s="305"/>
      <c r="P57" s="318"/>
      <c r="Q57" s="191"/>
      <c r="R57" s="191"/>
      <c r="S57" s="191"/>
      <c r="T57" s="191"/>
      <c r="U57" s="232"/>
      <c r="V57" s="191"/>
      <c r="W57" s="192"/>
      <c r="X57" s="191"/>
      <c r="Y57" s="191"/>
      <c r="Z57" s="191"/>
      <c r="AA57" s="319"/>
      <c r="AB57" s="168"/>
      <c r="AC57" s="168"/>
      <c r="AD57" s="168"/>
      <c r="AE57" s="168"/>
      <c r="AF57" s="168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</row>
    <row r="58" spans="1:115" s="170" customFormat="1" ht="12" customHeight="1" x14ac:dyDescent="0.25">
      <c r="A58" s="273">
        <v>44833</v>
      </c>
      <c r="B58" s="231" t="s">
        <v>208</v>
      </c>
      <c r="C58" s="274" t="s">
        <v>145</v>
      </c>
      <c r="D58" s="285"/>
      <c r="E58" s="218">
        <v>172.8</v>
      </c>
      <c r="F58" s="219"/>
      <c r="G58" s="286"/>
      <c r="H58" s="304"/>
      <c r="I58" s="185"/>
      <c r="J58" s="185"/>
      <c r="K58" s="186"/>
      <c r="L58" s="185"/>
      <c r="M58" s="185"/>
      <c r="N58" s="185"/>
      <c r="O58" s="305"/>
      <c r="P58" s="318"/>
      <c r="Q58" s="191"/>
      <c r="R58" s="191"/>
      <c r="S58" s="191"/>
      <c r="T58" s="191"/>
      <c r="U58" s="232"/>
      <c r="V58" s="191">
        <v>172.8</v>
      </c>
      <c r="W58" s="192"/>
      <c r="X58" s="191"/>
      <c r="Y58" s="191"/>
      <c r="Z58" s="191"/>
      <c r="AA58" s="319"/>
      <c r="AB58" s="168"/>
      <c r="AC58" s="168"/>
      <c r="AD58" s="168"/>
      <c r="AE58" s="168"/>
      <c r="AF58" s="168"/>
      <c r="AG58" s="168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</row>
    <row r="59" spans="1:115" s="170" customFormat="1" ht="12" customHeight="1" x14ac:dyDescent="0.25">
      <c r="A59" s="273">
        <v>44833</v>
      </c>
      <c r="B59" s="231" t="s">
        <v>424</v>
      </c>
      <c r="C59" s="274" t="s">
        <v>145</v>
      </c>
      <c r="D59" s="285">
        <v>120</v>
      </c>
      <c r="E59" s="218"/>
      <c r="F59" s="219"/>
      <c r="G59" s="286"/>
      <c r="H59" s="304"/>
      <c r="I59" s="185">
        <v>120</v>
      </c>
      <c r="J59" s="185"/>
      <c r="K59" s="186"/>
      <c r="L59" s="185"/>
      <c r="M59" s="185"/>
      <c r="N59" s="185"/>
      <c r="O59" s="305"/>
      <c r="P59" s="318"/>
      <c r="Q59" s="191"/>
      <c r="R59" s="191"/>
      <c r="S59" s="191"/>
      <c r="T59" s="191"/>
      <c r="U59" s="232"/>
      <c r="V59" s="191"/>
      <c r="W59" s="192"/>
      <c r="X59" s="191"/>
      <c r="Y59" s="191"/>
      <c r="Z59" s="191"/>
      <c r="AA59" s="319"/>
      <c r="AB59" s="168"/>
      <c r="AC59" s="168"/>
      <c r="AD59" s="168"/>
      <c r="AE59" s="168"/>
      <c r="AF59" s="168"/>
      <c r="AG59" s="168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</row>
    <row r="60" spans="1:115" s="170" customFormat="1" ht="12" customHeight="1" x14ac:dyDescent="0.25">
      <c r="A60" s="273">
        <v>44833</v>
      </c>
      <c r="B60" s="231" t="s">
        <v>599</v>
      </c>
      <c r="C60" s="274" t="s">
        <v>145</v>
      </c>
      <c r="D60" s="285"/>
      <c r="E60" s="218">
        <v>2342.5</v>
      </c>
      <c r="F60" s="219"/>
      <c r="G60" s="286"/>
      <c r="H60" s="304"/>
      <c r="I60" s="185"/>
      <c r="J60" s="185"/>
      <c r="K60" s="186"/>
      <c r="L60" s="185"/>
      <c r="M60" s="185"/>
      <c r="N60" s="185"/>
      <c r="O60" s="305"/>
      <c r="P60" s="318"/>
      <c r="Q60" s="191"/>
      <c r="R60" s="191"/>
      <c r="S60" s="191"/>
      <c r="T60" s="191">
        <v>2342.5</v>
      </c>
      <c r="U60" s="232"/>
      <c r="V60" s="191"/>
      <c r="W60" s="192"/>
      <c r="X60" s="191"/>
      <c r="Y60" s="191"/>
      <c r="Z60" s="191"/>
      <c r="AA60" s="319"/>
      <c r="AB60" s="168"/>
      <c r="AC60" s="168"/>
      <c r="AD60" s="168"/>
      <c r="AE60" s="168"/>
      <c r="AF60" s="168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</row>
    <row r="61" spans="1:115" s="170" customFormat="1" ht="12" customHeight="1" x14ac:dyDescent="0.25">
      <c r="A61" s="273">
        <v>44834</v>
      </c>
      <c r="B61" s="231" t="s">
        <v>215</v>
      </c>
      <c r="C61" s="274" t="s">
        <v>145</v>
      </c>
      <c r="D61" s="285"/>
      <c r="E61" s="218">
        <v>60</v>
      </c>
      <c r="F61" s="219"/>
      <c r="G61" s="286"/>
      <c r="H61" s="304"/>
      <c r="I61" s="185"/>
      <c r="J61" s="185"/>
      <c r="K61" s="186"/>
      <c r="L61" s="185"/>
      <c r="M61" s="185"/>
      <c r="N61" s="185"/>
      <c r="O61" s="305"/>
      <c r="P61" s="318"/>
      <c r="Q61" s="191"/>
      <c r="R61" s="191"/>
      <c r="S61" s="191"/>
      <c r="T61" s="191"/>
      <c r="U61" s="232"/>
      <c r="V61" s="191">
        <v>60</v>
      </c>
      <c r="W61" s="192"/>
      <c r="X61" s="191"/>
      <c r="Y61" s="191"/>
      <c r="Z61" s="191"/>
      <c r="AA61" s="319"/>
      <c r="AB61" s="168"/>
      <c r="AC61" s="168"/>
      <c r="AD61" s="168"/>
      <c r="AE61" s="168"/>
      <c r="AF61" s="168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</row>
    <row r="62" spans="1:115" s="170" customFormat="1" ht="12" customHeight="1" x14ac:dyDescent="0.25">
      <c r="A62" s="273">
        <v>44834</v>
      </c>
      <c r="B62" s="231" t="s">
        <v>610</v>
      </c>
      <c r="C62" s="274" t="s">
        <v>145</v>
      </c>
      <c r="D62" s="285">
        <v>105</v>
      </c>
      <c r="E62" s="218"/>
      <c r="F62" s="219"/>
      <c r="G62" s="286"/>
      <c r="H62" s="304"/>
      <c r="I62" s="185"/>
      <c r="J62" s="185"/>
      <c r="K62" s="186">
        <v>105</v>
      </c>
      <c r="L62" s="185"/>
      <c r="M62" s="185"/>
      <c r="N62" s="185"/>
      <c r="O62" s="305"/>
      <c r="P62" s="318"/>
      <c r="Q62" s="191"/>
      <c r="R62" s="191"/>
      <c r="S62" s="191"/>
      <c r="T62" s="191"/>
      <c r="U62" s="232"/>
      <c r="V62" s="191"/>
      <c r="W62" s="192"/>
      <c r="X62" s="191"/>
      <c r="Y62" s="191"/>
      <c r="Z62" s="191"/>
      <c r="AA62" s="319"/>
      <c r="AB62" s="168"/>
      <c r="AC62" s="168"/>
      <c r="AD62" s="168"/>
      <c r="AE62" s="168"/>
      <c r="AF62" s="168"/>
      <c r="AG62" s="168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</row>
    <row r="63" spans="1:115" s="170" customFormat="1" ht="12" customHeight="1" x14ac:dyDescent="0.25">
      <c r="A63" s="273">
        <v>44834</v>
      </c>
      <c r="B63" s="231" t="s">
        <v>611</v>
      </c>
      <c r="C63" s="274" t="s">
        <v>145</v>
      </c>
      <c r="D63" s="285">
        <v>17.5</v>
      </c>
      <c r="E63" s="218"/>
      <c r="F63" s="219"/>
      <c r="G63" s="286"/>
      <c r="H63" s="304"/>
      <c r="I63" s="185"/>
      <c r="J63" s="185"/>
      <c r="K63" s="186">
        <v>17.5</v>
      </c>
      <c r="L63" s="185"/>
      <c r="M63" s="185"/>
      <c r="N63" s="185"/>
      <c r="O63" s="305"/>
      <c r="P63" s="318"/>
      <c r="Q63" s="191"/>
      <c r="R63" s="191"/>
      <c r="S63" s="191"/>
      <c r="T63" s="191"/>
      <c r="U63" s="232"/>
      <c r="V63" s="191"/>
      <c r="W63" s="192"/>
      <c r="X63" s="191"/>
      <c r="Y63" s="191"/>
      <c r="Z63" s="191"/>
      <c r="AA63" s="319"/>
      <c r="AB63" s="168"/>
      <c r="AC63" s="168"/>
      <c r="AD63" s="168"/>
      <c r="AE63" s="168"/>
      <c r="AF63" s="168"/>
      <c r="AG63" s="168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</row>
    <row r="64" spans="1:115" s="170" customFormat="1" ht="12" customHeight="1" x14ac:dyDescent="0.25">
      <c r="A64" s="273">
        <v>44834</v>
      </c>
      <c r="B64" s="231" t="s">
        <v>612</v>
      </c>
      <c r="C64" s="274" t="s">
        <v>145</v>
      </c>
      <c r="D64" s="285"/>
      <c r="E64" s="218"/>
      <c r="F64" s="219">
        <v>8.5</v>
      </c>
      <c r="G64" s="286"/>
      <c r="H64" s="304"/>
      <c r="I64" s="185"/>
      <c r="J64" s="185"/>
      <c r="K64" s="186">
        <v>8.5</v>
      </c>
      <c r="L64" s="185"/>
      <c r="M64" s="185"/>
      <c r="N64" s="185"/>
      <c r="O64" s="305"/>
      <c r="P64" s="318"/>
      <c r="Q64" s="191"/>
      <c r="R64" s="191"/>
      <c r="S64" s="191"/>
      <c r="T64" s="191"/>
      <c r="U64" s="232"/>
      <c r="V64" s="191"/>
      <c r="W64" s="192"/>
      <c r="X64" s="191"/>
      <c r="Y64" s="191"/>
      <c r="Z64" s="191"/>
      <c r="AA64" s="319"/>
      <c r="AB64" s="168"/>
      <c r="AC64" s="168"/>
      <c r="AD64" s="168"/>
      <c r="AE64" s="168"/>
      <c r="AF64" s="168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</row>
    <row r="65" spans="1:115" s="170" customFormat="1" ht="12" customHeight="1" x14ac:dyDescent="0.25">
      <c r="A65" s="273">
        <v>44834</v>
      </c>
      <c r="B65" s="231" t="s">
        <v>613</v>
      </c>
      <c r="C65" s="274" t="s">
        <v>145</v>
      </c>
      <c r="D65" s="285"/>
      <c r="E65" s="218"/>
      <c r="F65" s="219">
        <v>2</v>
      </c>
      <c r="G65" s="286"/>
      <c r="H65" s="304"/>
      <c r="I65" s="185"/>
      <c r="J65" s="185"/>
      <c r="K65" s="186">
        <v>2</v>
      </c>
      <c r="L65" s="185"/>
      <c r="M65" s="185"/>
      <c r="N65" s="185"/>
      <c r="O65" s="305"/>
      <c r="P65" s="318"/>
      <c r="Q65" s="191"/>
      <c r="R65" s="191"/>
      <c r="S65" s="191"/>
      <c r="T65" s="191"/>
      <c r="U65" s="232"/>
      <c r="V65" s="191"/>
      <c r="W65" s="192"/>
      <c r="X65" s="191"/>
      <c r="Y65" s="191"/>
      <c r="Z65" s="191"/>
      <c r="AA65" s="319"/>
      <c r="AB65" s="168"/>
      <c r="AC65" s="168"/>
      <c r="AD65" s="168"/>
      <c r="AE65" s="168"/>
      <c r="AF65" s="168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</row>
    <row r="66" spans="1:115" s="170" customFormat="1" ht="12" customHeight="1" x14ac:dyDescent="0.25">
      <c r="A66" s="273">
        <v>44834</v>
      </c>
      <c r="B66" s="231" t="s">
        <v>614</v>
      </c>
      <c r="C66" s="274" t="s">
        <v>145</v>
      </c>
      <c r="D66" s="285">
        <v>15</v>
      </c>
      <c r="E66" s="218"/>
      <c r="F66" s="219"/>
      <c r="G66" s="286"/>
      <c r="H66" s="304"/>
      <c r="I66" s="185"/>
      <c r="J66" s="185"/>
      <c r="K66" s="186">
        <v>15</v>
      </c>
      <c r="L66" s="185"/>
      <c r="M66" s="185"/>
      <c r="N66" s="185"/>
      <c r="O66" s="305"/>
      <c r="P66" s="318"/>
      <c r="Q66" s="191"/>
      <c r="R66" s="191"/>
      <c r="S66" s="191"/>
      <c r="T66" s="191"/>
      <c r="U66" s="232"/>
      <c r="V66" s="191"/>
      <c r="W66" s="192"/>
      <c r="X66" s="191"/>
      <c r="Y66" s="191"/>
      <c r="Z66" s="191"/>
      <c r="AA66" s="319"/>
      <c r="AB66" s="168"/>
      <c r="AC66" s="168"/>
      <c r="AD66" s="168"/>
      <c r="AE66" s="168"/>
      <c r="AF66" s="168"/>
      <c r="AG66" s="168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</row>
    <row r="67" spans="1:115" s="170" customFormat="1" ht="12" customHeight="1" x14ac:dyDescent="0.25">
      <c r="A67" s="273">
        <v>44834</v>
      </c>
      <c r="B67" s="231" t="s">
        <v>615</v>
      </c>
      <c r="C67" s="274" t="s">
        <v>145</v>
      </c>
      <c r="D67" s="285"/>
      <c r="E67" s="218"/>
      <c r="F67" s="219">
        <v>29</v>
      </c>
      <c r="G67" s="286"/>
      <c r="H67" s="304"/>
      <c r="I67" s="185"/>
      <c r="J67" s="185"/>
      <c r="K67" s="186">
        <v>29</v>
      </c>
      <c r="L67" s="185"/>
      <c r="M67" s="185"/>
      <c r="N67" s="185"/>
      <c r="O67" s="305"/>
      <c r="P67" s="318"/>
      <c r="Q67" s="191"/>
      <c r="R67" s="191"/>
      <c r="S67" s="191"/>
      <c r="T67" s="191"/>
      <c r="U67" s="232"/>
      <c r="V67" s="191"/>
      <c r="W67" s="192"/>
      <c r="X67" s="191"/>
      <c r="Y67" s="191"/>
      <c r="Z67" s="191"/>
      <c r="AA67" s="319"/>
      <c r="AB67" s="168"/>
      <c r="AC67" s="168"/>
      <c r="AD67" s="168"/>
      <c r="AE67" s="168"/>
      <c r="AF67" s="168"/>
      <c r="AG67" s="168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</row>
    <row r="68" spans="1:115" s="170" customFormat="1" ht="12" customHeight="1" x14ac:dyDescent="0.25">
      <c r="A68" s="273">
        <v>44834</v>
      </c>
      <c r="B68" s="231" t="s">
        <v>616</v>
      </c>
      <c r="C68" s="274" t="s">
        <v>145</v>
      </c>
      <c r="D68" s="285">
        <v>59.5</v>
      </c>
      <c r="E68" s="218"/>
      <c r="F68" s="219"/>
      <c r="G68" s="286"/>
      <c r="H68" s="304"/>
      <c r="I68" s="185"/>
      <c r="J68" s="185"/>
      <c r="K68" s="186">
        <v>59.5</v>
      </c>
      <c r="L68" s="185"/>
      <c r="M68" s="185"/>
      <c r="N68" s="185"/>
      <c r="O68" s="305"/>
      <c r="P68" s="318"/>
      <c r="Q68" s="191"/>
      <c r="R68" s="191"/>
      <c r="S68" s="191"/>
      <c r="T68" s="191"/>
      <c r="U68" s="232"/>
      <c r="V68" s="191"/>
      <c r="W68" s="192"/>
      <c r="X68" s="191"/>
      <c r="Y68" s="191"/>
      <c r="Z68" s="191"/>
      <c r="AA68" s="319"/>
      <c r="AB68" s="168"/>
      <c r="AC68" s="168"/>
      <c r="AD68" s="168"/>
      <c r="AE68" s="168"/>
      <c r="AF68" s="168"/>
      <c r="AG68" s="168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</row>
    <row r="69" spans="1:115" s="170" customFormat="1" ht="12" customHeight="1" x14ac:dyDescent="0.25">
      <c r="A69" s="273">
        <v>44834</v>
      </c>
      <c r="B69" s="231" t="s">
        <v>279</v>
      </c>
      <c r="C69" s="274" t="s">
        <v>145</v>
      </c>
      <c r="D69" s="285">
        <v>80</v>
      </c>
      <c r="E69" s="218"/>
      <c r="F69" s="219"/>
      <c r="G69" s="286"/>
      <c r="H69" s="304"/>
      <c r="I69" s="185">
        <v>80</v>
      </c>
      <c r="J69" s="185"/>
      <c r="K69" s="186"/>
      <c r="L69" s="185"/>
      <c r="M69" s="185"/>
      <c r="N69" s="185"/>
      <c r="O69" s="305"/>
      <c r="P69" s="318"/>
      <c r="Q69" s="191"/>
      <c r="R69" s="191"/>
      <c r="S69" s="191"/>
      <c r="T69" s="191"/>
      <c r="U69" s="232"/>
      <c r="V69" s="191"/>
      <c r="W69" s="192"/>
      <c r="X69" s="191"/>
      <c r="Y69" s="191"/>
      <c r="Z69" s="191"/>
      <c r="AA69" s="319"/>
      <c r="AB69" s="168"/>
      <c r="AC69" s="168"/>
      <c r="AD69" s="168"/>
      <c r="AE69" s="168"/>
      <c r="AF69" s="168"/>
      <c r="AG69" s="168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</row>
    <row r="70" spans="1:115" s="170" customFormat="1" ht="12" customHeight="1" x14ac:dyDescent="0.25">
      <c r="A70" s="273">
        <v>44834</v>
      </c>
      <c r="B70" s="231" t="s">
        <v>427</v>
      </c>
      <c r="C70" s="274" t="s">
        <v>145</v>
      </c>
      <c r="D70" s="285">
        <v>100</v>
      </c>
      <c r="E70" s="218"/>
      <c r="F70" s="219"/>
      <c r="G70" s="286"/>
      <c r="H70" s="304"/>
      <c r="I70" s="185">
        <v>100</v>
      </c>
      <c r="J70" s="185"/>
      <c r="K70" s="186"/>
      <c r="L70" s="185"/>
      <c r="M70" s="185"/>
      <c r="N70" s="185"/>
      <c r="O70" s="305"/>
      <c r="P70" s="318"/>
      <c r="Q70" s="191"/>
      <c r="R70" s="191"/>
      <c r="S70" s="191"/>
      <c r="T70" s="191"/>
      <c r="U70" s="232"/>
      <c r="V70" s="191"/>
      <c r="W70" s="192"/>
      <c r="X70" s="191"/>
      <c r="Y70" s="191"/>
      <c r="Z70" s="191"/>
      <c r="AA70" s="319"/>
      <c r="AB70" s="168"/>
      <c r="AC70" s="168"/>
      <c r="AD70" s="168"/>
      <c r="AE70" s="168"/>
      <c r="AF70" s="168"/>
      <c r="AG70" s="168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</row>
    <row r="71" spans="1:115" s="170" customFormat="1" ht="12" customHeight="1" x14ac:dyDescent="0.25">
      <c r="A71" s="273">
        <v>44834</v>
      </c>
      <c r="B71" s="231" t="s">
        <v>350</v>
      </c>
      <c r="C71" s="274" t="s">
        <v>145</v>
      </c>
      <c r="D71" s="285">
        <v>136</v>
      </c>
      <c r="E71" s="218"/>
      <c r="F71" s="219"/>
      <c r="G71" s="286"/>
      <c r="H71" s="304"/>
      <c r="I71" s="185">
        <v>136</v>
      </c>
      <c r="J71" s="185"/>
      <c r="K71" s="186"/>
      <c r="L71" s="185"/>
      <c r="M71" s="185"/>
      <c r="N71" s="185"/>
      <c r="O71" s="305"/>
      <c r="P71" s="318"/>
      <c r="Q71" s="191"/>
      <c r="R71" s="191"/>
      <c r="S71" s="191"/>
      <c r="T71" s="191"/>
      <c r="U71" s="232"/>
      <c r="V71" s="191"/>
      <c r="W71" s="192"/>
      <c r="X71" s="191"/>
      <c r="Y71" s="191"/>
      <c r="Z71" s="191"/>
      <c r="AA71" s="319"/>
      <c r="AB71" s="168"/>
      <c r="AC71" s="168"/>
      <c r="AD71" s="168"/>
      <c r="AE71" s="168"/>
      <c r="AF71" s="168"/>
      <c r="AG71" s="168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</row>
    <row r="72" spans="1:115" s="170" customFormat="1" ht="12" customHeight="1" x14ac:dyDescent="0.25">
      <c r="A72" s="273">
        <v>44834</v>
      </c>
      <c r="B72" s="231" t="s">
        <v>303</v>
      </c>
      <c r="C72" s="274" t="s">
        <v>145</v>
      </c>
      <c r="D72" s="285">
        <v>100</v>
      </c>
      <c r="E72" s="218"/>
      <c r="F72" s="219"/>
      <c r="G72" s="286"/>
      <c r="H72" s="304"/>
      <c r="I72" s="185">
        <v>100</v>
      </c>
      <c r="J72" s="185"/>
      <c r="K72" s="186"/>
      <c r="L72" s="185"/>
      <c r="M72" s="185"/>
      <c r="N72" s="185"/>
      <c r="O72" s="305"/>
      <c r="P72" s="318"/>
      <c r="Q72" s="191"/>
      <c r="R72" s="191"/>
      <c r="S72" s="191"/>
      <c r="T72" s="191"/>
      <c r="U72" s="232"/>
      <c r="V72" s="191"/>
      <c r="W72" s="192"/>
      <c r="X72" s="191"/>
      <c r="Y72" s="191"/>
      <c r="Z72" s="191"/>
      <c r="AA72" s="319"/>
      <c r="AB72" s="168"/>
      <c r="AC72" s="168"/>
      <c r="AD72" s="168"/>
      <c r="AE72" s="168"/>
      <c r="AF72" s="168"/>
      <c r="AG72" s="168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</row>
    <row r="73" spans="1:115" s="170" customFormat="1" ht="12" customHeight="1" x14ac:dyDescent="0.25">
      <c r="A73" s="273">
        <v>44834</v>
      </c>
      <c r="B73" s="231" t="s">
        <v>617</v>
      </c>
      <c r="C73" s="274" t="s">
        <v>145</v>
      </c>
      <c r="D73" s="285"/>
      <c r="E73" s="218"/>
      <c r="F73" s="219"/>
      <c r="G73" s="286">
        <v>9.9</v>
      </c>
      <c r="H73" s="304"/>
      <c r="I73" s="185"/>
      <c r="J73" s="185"/>
      <c r="K73" s="186"/>
      <c r="L73" s="185"/>
      <c r="M73" s="185"/>
      <c r="N73" s="185"/>
      <c r="O73" s="305"/>
      <c r="P73" s="318"/>
      <c r="Q73" s="191">
        <v>9.9</v>
      </c>
      <c r="R73" s="191"/>
      <c r="S73" s="191"/>
      <c r="T73" s="191"/>
      <c r="U73" s="232"/>
      <c r="V73" s="191"/>
      <c r="W73" s="192"/>
      <c r="X73" s="191"/>
      <c r="Y73" s="191"/>
      <c r="Z73" s="191"/>
      <c r="AA73" s="319"/>
      <c r="AB73" s="168"/>
      <c r="AC73" s="168"/>
      <c r="AD73" s="168"/>
      <c r="AE73" s="168"/>
      <c r="AF73" s="168"/>
      <c r="AG73" s="168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</row>
    <row r="74" spans="1:115" s="170" customFormat="1" ht="12" customHeight="1" x14ac:dyDescent="0.25">
      <c r="A74" s="273">
        <v>44834</v>
      </c>
      <c r="B74" s="231" t="s">
        <v>597</v>
      </c>
      <c r="C74" s="274" t="s">
        <v>145</v>
      </c>
      <c r="D74" s="285">
        <v>587.1</v>
      </c>
      <c r="E74" s="218"/>
      <c r="F74" s="219"/>
      <c r="G74" s="286">
        <v>587.1</v>
      </c>
      <c r="H74" s="304"/>
      <c r="I74" s="185"/>
      <c r="J74" s="185"/>
      <c r="K74" s="186"/>
      <c r="L74" s="185"/>
      <c r="M74" s="185"/>
      <c r="N74" s="185"/>
      <c r="O74" s="305"/>
      <c r="P74" s="318"/>
      <c r="Q74" s="191"/>
      <c r="R74" s="191"/>
      <c r="S74" s="191"/>
      <c r="T74" s="191"/>
      <c r="U74" s="232"/>
      <c r="V74" s="191"/>
      <c r="W74" s="192"/>
      <c r="X74" s="191"/>
      <c r="Y74" s="191"/>
      <c r="Z74" s="191"/>
      <c r="AA74" s="319"/>
      <c r="AB74" s="168"/>
      <c r="AC74" s="168"/>
      <c r="AD74" s="168"/>
      <c r="AE74" s="168"/>
      <c r="AF74" s="168"/>
      <c r="AG74" s="168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</row>
    <row r="75" spans="1:115" s="170" customFormat="1" ht="12" customHeight="1" x14ac:dyDescent="0.25">
      <c r="A75" s="273">
        <v>44834</v>
      </c>
      <c r="B75" s="231" t="s">
        <v>618</v>
      </c>
      <c r="C75" s="274" t="s">
        <v>145</v>
      </c>
      <c r="D75" s="285"/>
      <c r="E75" s="218">
        <v>12.6</v>
      </c>
      <c r="F75" s="219"/>
      <c r="G75" s="286"/>
      <c r="H75" s="304"/>
      <c r="I75" s="185"/>
      <c r="J75" s="185"/>
      <c r="K75" s="186"/>
      <c r="L75" s="185"/>
      <c r="M75" s="185"/>
      <c r="N75" s="185"/>
      <c r="O75" s="305"/>
      <c r="P75" s="318"/>
      <c r="Q75" s="191"/>
      <c r="R75" s="191"/>
      <c r="S75" s="191">
        <v>12.6</v>
      </c>
      <c r="T75" s="191"/>
      <c r="U75" s="232"/>
      <c r="V75" s="191"/>
      <c r="W75" s="192"/>
      <c r="X75" s="191"/>
      <c r="Y75" s="191"/>
      <c r="Z75" s="191"/>
      <c r="AA75" s="319"/>
      <c r="AB75" s="168"/>
      <c r="AC75" s="168"/>
      <c r="AD75" s="168"/>
      <c r="AE75" s="168"/>
      <c r="AF75" s="168"/>
      <c r="AG75" s="168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</row>
    <row r="76" spans="1:115" s="170" customFormat="1" ht="12" customHeight="1" x14ac:dyDescent="0.25">
      <c r="A76" s="273">
        <v>44834</v>
      </c>
      <c r="B76" s="231" t="s">
        <v>619</v>
      </c>
      <c r="C76" s="274" t="s">
        <v>145</v>
      </c>
      <c r="D76" s="285"/>
      <c r="E76" s="218">
        <v>147</v>
      </c>
      <c r="F76" s="219"/>
      <c r="G76" s="286"/>
      <c r="H76" s="304"/>
      <c r="I76" s="185"/>
      <c r="J76" s="185"/>
      <c r="K76" s="186"/>
      <c r="L76" s="185"/>
      <c r="M76" s="185"/>
      <c r="N76" s="185"/>
      <c r="O76" s="305"/>
      <c r="P76" s="318"/>
      <c r="Q76" s="191"/>
      <c r="R76" s="191"/>
      <c r="S76" s="191"/>
      <c r="T76" s="191">
        <v>147</v>
      </c>
      <c r="U76" s="232"/>
      <c r="V76" s="191"/>
      <c r="W76" s="192"/>
      <c r="X76" s="191"/>
      <c r="Y76" s="191"/>
      <c r="Z76" s="191"/>
      <c r="AA76" s="319"/>
      <c r="AB76" s="168"/>
      <c r="AC76" s="168"/>
      <c r="AD76" s="168"/>
      <c r="AE76" s="168"/>
      <c r="AF76" s="168"/>
      <c r="AG76" s="168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</row>
    <row r="77" spans="1:115" s="170" customFormat="1" ht="12" customHeight="1" x14ac:dyDescent="0.25">
      <c r="A77" s="273">
        <v>44834</v>
      </c>
      <c r="B77" s="231" t="s">
        <v>620</v>
      </c>
      <c r="C77" s="274" t="s">
        <v>145</v>
      </c>
      <c r="D77" s="285"/>
      <c r="E77" s="218">
        <v>5</v>
      </c>
      <c r="F77" s="219"/>
      <c r="G77" s="286"/>
      <c r="H77" s="304"/>
      <c r="I77" s="185"/>
      <c r="J77" s="185"/>
      <c r="K77" s="186"/>
      <c r="L77" s="185"/>
      <c r="M77" s="185"/>
      <c r="N77" s="185"/>
      <c r="O77" s="305"/>
      <c r="P77" s="318"/>
      <c r="Q77" s="191"/>
      <c r="R77" s="191"/>
      <c r="S77" s="191"/>
      <c r="T77" s="191">
        <v>5</v>
      </c>
      <c r="U77" s="232"/>
      <c r="V77" s="191"/>
      <c r="W77" s="192"/>
      <c r="X77" s="191"/>
      <c r="Y77" s="191"/>
      <c r="Z77" s="191"/>
      <c r="AA77" s="319"/>
      <c r="AB77" s="168"/>
      <c r="AC77" s="168"/>
      <c r="AD77" s="168"/>
      <c r="AE77" s="168"/>
      <c r="AF77" s="168"/>
      <c r="AG77" s="168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</row>
    <row r="78" spans="1:115" s="527" customFormat="1" ht="12" customHeight="1" x14ac:dyDescent="0.25">
      <c r="A78" s="529">
        <v>44834</v>
      </c>
      <c r="B78" s="469" t="s">
        <v>211</v>
      </c>
      <c r="C78" s="276" t="s">
        <v>145</v>
      </c>
      <c r="D78" s="287"/>
      <c r="E78" s="220">
        <v>10.38</v>
      </c>
      <c r="F78" s="221"/>
      <c r="G78" s="288"/>
      <c r="H78" s="306"/>
      <c r="I78" s="183"/>
      <c r="J78" s="183"/>
      <c r="K78" s="184"/>
      <c r="L78" s="183"/>
      <c r="M78" s="183"/>
      <c r="N78" s="183"/>
      <c r="O78" s="470"/>
      <c r="P78" s="320"/>
      <c r="Q78" s="189"/>
      <c r="R78" s="189"/>
      <c r="S78" s="189"/>
      <c r="T78" s="189"/>
      <c r="U78" s="471"/>
      <c r="V78" s="189"/>
      <c r="W78" s="190"/>
      <c r="X78" s="189"/>
      <c r="Y78" s="189">
        <v>10.38</v>
      </c>
      <c r="Z78" s="189"/>
      <c r="AA78" s="321"/>
      <c r="AB78" s="168"/>
      <c r="AC78" s="168"/>
      <c r="AD78" s="168"/>
      <c r="AE78" s="168"/>
      <c r="AF78" s="168"/>
      <c r="AG78" s="168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</row>
    <row r="79" spans="1:115" s="9" customFormat="1" ht="11" thickBot="1" x14ac:dyDescent="0.3">
      <c r="A79" s="277" t="s">
        <v>25</v>
      </c>
      <c r="B79" s="278"/>
      <c r="C79" s="279"/>
      <c r="D79" s="289">
        <f t="shared" ref="D79:AA79" si="0">SUM(D6:D78)</f>
        <v>3778.27</v>
      </c>
      <c r="E79" s="290">
        <f t="shared" si="0"/>
        <v>5712.5900000000011</v>
      </c>
      <c r="F79" s="291">
        <f t="shared" si="0"/>
        <v>1429.3000000000002</v>
      </c>
      <c r="G79" s="292">
        <f t="shared" si="0"/>
        <v>1439.2</v>
      </c>
      <c r="H79" s="289">
        <f t="shared" si="0"/>
        <v>28.8</v>
      </c>
      <c r="I79" s="290">
        <f t="shared" si="0"/>
        <v>1651.57</v>
      </c>
      <c r="J79" s="290">
        <f t="shared" si="0"/>
        <v>0</v>
      </c>
      <c r="K79" s="290">
        <f t="shared" si="0"/>
        <v>2119.9</v>
      </c>
      <c r="L79" s="290">
        <f t="shared" si="0"/>
        <v>0</v>
      </c>
      <c r="M79" s="290">
        <f t="shared" si="0"/>
        <v>0</v>
      </c>
      <c r="N79" s="290">
        <f t="shared" si="0"/>
        <v>0</v>
      </c>
      <c r="O79" s="308">
        <f t="shared" si="0"/>
        <v>0</v>
      </c>
      <c r="P79" s="322">
        <f t="shared" si="0"/>
        <v>0</v>
      </c>
      <c r="Q79" s="323">
        <f t="shared" si="0"/>
        <v>9.9</v>
      </c>
      <c r="R79" s="323">
        <f t="shared" si="0"/>
        <v>0</v>
      </c>
      <c r="S79" s="323">
        <f t="shared" si="0"/>
        <v>120.07</v>
      </c>
      <c r="T79" s="323">
        <f t="shared" si="0"/>
        <v>5320.23</v>
      </c>
      <c r="U79" s="323">
        <f t="shared" si="0"/>
        <v>0</v>
      </c>
      <c r="V79" s="323">
        <f t="shared" si="0"/>
        <v>262.79000000000002</v>
      </c>
      <c r="W79" s="323">
        <f t="shared" si="0"/>
        <v>10.44</v>
      </c>
      <c r="X79" s="323">
        <f t="shared" si="0"/>
        <v>0</v>
      </c>
      <c r="Y79" s="323">
        <f t="shared" si="0"/>
        <v>21.060000000000002</v>
      </c>
      <c r="Z79" s="323">
        <f t="shared" si="0"/>
        <v>0</v>
      </c>
      <c r="AA79" s="324">
        <f t="shared" si="0"/>
        <v>0</v>
      </c>
      <c r="AB79" s="37"/>
      <c r="AC79" s="37"/>
      <c r="AD79" s="37"/>
      <c r="AE79" s="37"/>
      <c r="AF79" s="37"/>
      <c r="AG79" s="37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s="38" customFormat="1" ht="11.5" thickTop="1" thickBot="1" x14ac:dyDescent="0.3">
      <c r="A80" s="326"/>
      <c r="B80" s="327"/>
      <c r="C80" s="328"/>
      <c r="D80" s="336"/>
      <c r="E80" s="337"/>
      <c r="F80" s="338"/>
      <c r="G80" s="339"/>
      <c r="H80" s="353"/>
      <c r="I80" s="338"/>
      <c r="J80" s="338"/>
      <c r="K80" s="354"/>
      <c r="L80" s="338"/>
      <c r="M80" s="338"/>
      <c r="N80" s="355"/>
      <c r="O80" s="339"/>
      <c r="P80" s="372"/>
      <c r="Q80" s="373"/>
      <c r="R80" s="373"/>
      <c r="S80" s="373"/>
      <c r="T80" s="374"/>
      <c r="U80" s="373"/>
      <c r="V80" s="373"/>
      <c r="W80" s="375"/>
      <c r="X80" s="376"/>
      <c r="Y80" s="376"/>
      <c r="Z80" s="376"/>
      <c r="AA80" s="377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</row>
    <row r="81" spans="1:27" s="6" customFormat="1" ht="53.5" thickTop="1" thickBot="1" x14ac:dyDescent="0.3">
      <c r="A81" s="329" t="s">
        <v>1</v>
      </c>
      <c r="B81" s="12" t="s">
        <v>2</v>
      </c>
      <c r="C81" s="330"/>
      <c r="D81" s="340" t="s">
        <v>3</v>
      </c>
      <c r="E81" s="233"/>
      <c r="F81" s="233" t="s">
        <v>4</v>
      </c>
      <c r="G81" s="341"/>
      <c r="H81" s="356" t="s">
        <v>5</v>
      </c>
      <c r="I81" s="13" t="s">
        <v>6</v>
      </c>
      <c r="J81" s="13" t="s">
        <v>7</v>
      </c>
      <c r="K81" s="14" t="s">
        <v>8</v>
      </c>
      <c r="L81" s="15" t="s">
        <v>9</v>
      </c>
      <c r="M81" s="14" t="s">
        <v>10</v>
      </c>
      <c r="N81" s="14" t="s">
        <v>11</v>
      </c>
      <c r="O81" s="357" t="s">
        <v>12</v>
      </c>
      <c r="P81" s="293" t="s">
        <v>13</v>
      </c>
      <c r="Q81" s="297" t="s">
        <v>98</v>
      </c>
      <c r="R81" s="309" t="s">
        <v>14</v>
      </c>
      <c r="S81" s="310" t="s">
        <v>15</v>
      </c>
      <c r="T81" s="311" t="s">
        <v>16</v>
      </c>
      <c r="U81" s="297" t="s">
        <v>17</v>
      </c>
      <c r="V81" s="297" t="s">
        <v>18</v>
      </c>
      <c r="W81" s="294" t="s">
        <v>63</v>
      </c>
      <c r="X81" s="312" t="s">
        <v>19</v>
      </c>
      <c r="Y81" s="297" t="s">
        <v>65</v>
      </c>
      <c r="Z81" s="297" t="s">
        <v>102</v>
      </c>
      <c r="AA81" s="298" t="s">
        <v>104</v>
      </c>
    </row>
    <row r="82" spans="1:27" s="6" customFormat="1" ht="11" thickBot="1" x14ac:dyDescent="0.3">
      <c r="A82" s="331"/>
      <c r="B82" s="16"/>
      <c r="C82" s="332"/>
      <c r="D82" s="342" t="s">
        <v>22</v>
      </c>
      <c r="E82" s="39" t="s">
        <v>23</v>
      </c>
      <c r="F82" s="16" t="s">
        <v>22</v>
      </c>
      <c r="G82" s="343" t="s">
        <v>23</v>
      </c>
      <c r="H82" s="331" t="s">
        <v>22</v>
      </c>
      <c r="I82" s="16" t="s">
        <v>22</v>
      </c>
      <c r="J82" s="16" t="s">
        <v>22</v>
      </c>
      <c r="K82" s="17" t="s">
        <v>22</v>
      </c>
      <c r="L82" s="18" t="s">
        <v>22</v>
      </c>
      <c r="M82" s="19" t="s">
        <v>22</v>
      </c>
      <c r="N82" s="20"/>
      <c r="O82" s="358" t="s">
        <v>22</v>
      </c>
      <c r="P82" s="331" t="s">
        <v>23</v>
      </c>
      <c r="Q82" s="16" t="s">
        <v>23</v>
      </c>
      <c r="R82" s="18" t="s">
        <v>23</v>
      </c>
      <c r="S82" s="18" t="s">
        <v>23</v>
      </c>
      <c r="T82" s="16" t="s">
        <v>23</v>
      </c>
      <c r="U82" s="16" t="s">
        <v>23</v>
      </c>
      <c r="V82" s="16" t="s">
        <v>23</v>
      </c>
      <c r="W82" s="19" t="s">
        <v>23</v>
      </c>
      <c r="X82" s="16" t="s">
        <v>23</v>
      </c>
      <c r="Y82" s="16" t="s">
        <v>23</v>
      </c>
      <c r="Z82" s="16" t="s">
        <v>23</v>
      </c>
      <c r="AA82" s="378" t="s">
        <v>23</v>
      </c>
    </row>
    <row r="83" spans="1:27" s="21" customFormat="1" ht="11" thickBot="1" x14ac:dyDescent="0.3">
      <c r="A83" s="333"/>
      <c r="B83" s="334"/>
      <c r="C83" s="335"/>
      <c r="D83" s="344">
        <f t="shared" ref="D83:AA83" si="1">SUM(D5:D78)</f>
        <v>17609.070000000007</v>
      </c>
      <c r="E83" s="345">
        <f t="shared" si="1"/>
        <v>5712.5900000000011</v>
      </c>
      <c r="F83" s="345">
        <f t="shared" si="1"/>
        <v>1499.9</v>
      </c>
      <c r="G83" s="346">
        <f t="shared" si="1"/>
        <v>1439.2</v>
      </c>
      <c r="H83" s="359">
        <f t="shared" si="1"/>
        <v>28.8</v>
      </c>
      <c r="I83" s="360">
        <f t="shared" si="1"/>
        <v>1651.57</v>
      </c>
      <c r="J83" s="360">
        <f t="shared" si="1"/>
        <v>0</v>
      </c>
      <c r="K83" s="360">
        <f t="shared" si="1"/>
        <v>2119.9</v>
      </c>
      <c r="L83" s="360">
        <f t="shared" si="1"/>
        <v>0</v>
      </c>
      <c r="M83" s="360">
        <f t="shared" si="1"/>
        <v>0</v>
      </c>
      <c r="N83" s="360">
        <f t="shared" si="1"/>
        <v>0</v>
      </c>
      <c r="O83" s="361">
        <f t="shared" si="1"/>
        <v>13901.400000000011</v>
      </c>
      <c r="P83" s="359">
        <f t="shared" si="1"/>
        <v>0</v>
      </c>
      <c r="Q83" s="360">
        <f t="shared" si="1"/>
        <v>9.9</v>
      </c>
      <c r="R83" s="360">
        <f t="shared" si="1"/>
        <v>0</v>
      </c>
      <c r="S83" s="360">
        <f t="shared" si="1"/>
        <v>120.07</v>
      </c>
      <c r="T83" s="360">
        <f t="shared" si="1"/>
        <v>5320.23</v>
      </c>
      <c r="U83" s="360">
        <f t="shared" si="1"/>
        <v>0</v>
      </c>
      <c r="V83" s="360">
        <f t="shared" si="1"/>
        <v>262.79000000000002</v>
      </c>
      <c r="W83" s="360">
        <f t="shared" si="1"/>
        <v>10.44</v>
      </c>
      <c r="X83" s="360">
        <f t="shared" si="1"/>
        <v>0</v>
      </c>
      <c r="Y83" s="360">
        <f t="shared" si="1"/>
        <v>21.060000000000002</v>
      </c>
      <c r="Z83" s="360">
        <f t="shared" si="1"/>
        <v>0</v>
      </c>
      <c r="AA83" s="361">
        <f t="shared" si="1"/>
        <v>0</v>
      </c>
    </row>
    <row r="84" spans="1:27" s="6" customFormat="1" ht="11.5" thickTop="1" thickBot="1" x14ac:dyDescent="0.3">
      <c r="A84" s="347"/>
      <c r="B84" s="348" t="s">
        <v>26</v>
      </c>
      <c r="C84" s="349"/>
      <c r="D84" s="350">
        <f>SUM(D83-E83)</f>
        <v>11896.480000000007</v>
      </c>
      <c r="E84" s="351"/>
      <c r="F84" s="350">
        <f>SUM(F83-G83)</f>
        <v>60.700000000000045</v>
      </c>
      <c r="G84" s="352"/>
      <c r="H84" s="363"/>
      <c r="I84" s="379"/>
      <c r="J84" s="379" t="s">
        <v>20</v>
      </c>
      <c r="K84" s="365"/>
      <c r="L84" s="364"/>
      <c r="M84" s="364" t="s">
        <v>20</v>
      </c>
      <c r="N84" s="366"/>
      <c r="O84" s="367" t="s">
        <v>20</v>
      </c>
      <c r="P84" s="363"/>
      <c r="Q84" s="364"/>
      <c r="R84" s="364" t="s">
        <v>20</v>
      </c>
      <c r="S84" s="364" t="s">
        <v>20</v>
      </c>
      <c r="T84" s="364" t="s">
        <v>20</v>
      </c>
      <c r="U84" s="371"/>
      <c r="V84" s="364" t="s">
        <v>20</v>
      </c>
      <c r="W84" s="371"/>
      <c r="X84" s="364" t="s">
        <v>20</v>
      </c>
      <c r="Y84" s="364" t="s">
        <v>20</v>
      </c>
      <c r="Z84" s="364" t="s">
        <v>20</v>
      </c>
      <c r="AA84" s="352" t="s">
        <v>20</v>
      </c>
    </row>
    <row r="85" spans="1:27" s="6" customFormat="1" ht="13.5" thickTop="1" thickBot="1" x14ac:dyDescent="0.3">
      <c r="A85" s="2"/>
      <c r="B85" s="2"/>
      <c r="C85" s="55"/>
      <c r="D85" s="35"/>
      <c r="E85" s="34"/>
      <c r="F85" s="4"/>
      <c r="I85" s="546" t="s">
        <v>27</v>
      </c>
      <c r="J85" s="547"/>
      <c r="K85" s="362">
        <f>SUM(H83:O83)</f>
        <v>17701.670000000009</v>
      </c>
      <c r="O85" s="22"/>
      <c r="P85" s="4"/>
      <c r="Q85" s="6" t="s">
        <v>28</v>
      </c>
      <c r="R85" s="368" t="s">
        <v>20</v>
      </c>
      <c r="S85" s="369">
        <f>SUM(P83:AA83)</f>
        <v>5744.49</v>
      </c>
      <c r="T85" s="370"/>
    </row>
    <row r="86" spans="1:27" s="6" customFormat="1" ht="11" thickBot="1" x14ac:dyDescent="0.3">
      <c r="A86" s="2"/>
      <c r="B86" s="23" t="s">
        <v>29</v>
      </c>
      <c r="C86" s="23"/>
      <c r="D86" s="40" t="s">
        <v>20</v>
      </c>
      <c r="E86" s="193">
        <f>SUM(D83-E83+F83-G83)</f>
        <v>11957.180000000006</v>
      </c>
      <c r="F86" s="25" t="s">
        <v>49</v>
      </c>
      <c r="H86" s="26"/>
      <c r="I86" s="46"/>
      <c r="J86" s="46"/>
      <c r="K86" s="27"/>
      <c r="M86" s="7"/>
      <c r="N86" s="46"/>
      <c r="O86" s="24">
        <f>E83</f>
        <v>5712.5900000000011</v>
      </c>
      <c r="P86" s="540">
        <f>SUM(K85-S85)</f>
        <v>11957.180000000009</v>
      </c>
      <c r="Q86" s="540"/>
      <c r="R86" s="541" t="s">
        <v>30</v>
      </c>
      <c r="S86" s="541"/>
      <c r="T86" s="541"/>
    </row>
    <row r="87" spans="1:27" s="6" customFormat="1" ht="10.5" x14ac:dyDescent="0.25">
      <c r="A87" s="1"/>
      <c r="B87" s="2"/>
      <c r="C87" s="55"/>
      <c r="D87" s="28"/>
      <c r="E87" s="34"/>
      <c r="F87" s="4"/>
      <c r="G87" s="3"/>
      <c r="H87" s="3"/>
      <c r="I87" s="3"/>
      <c r="J87" s="3"/>
      <c r="K87" s="5"/>
      <c r="L87" s="3"/>
      <c r="M87" s="3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6" customFormat="1" x14ac:dyDescent="0.25">
      <c r="A88" s="1"/>
      <c r="B88" s="2"/>
      <c r="C88" s="2"/>
      <c r="D88" s="542" t="s">
        <v>52</v>
      </c>
      <c r="E88" s="543"/>
      <c r="F88" s="194">
        <v>40.1</v>
      </c>
      <c r="G88" s="197">
        <f>9569.36-10.38+(521+309)+1507.5</f>
        <v>11896.480000000001</v>
      </c>
      <c r="H88" s="52" t="s">
        <v>54</v>
      </c>
      <c r="I88" s="57"/>
      <c r="J88" s="3"/>
      <c r="K88" s="5"/>
      <c r="L88" s="3"/>
      <c r="M88" s="3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6" customFormat="1" x14ac:dyDescent="0.25">
      <c r="A89" s="1"/>
      <c r="B89" s="2"/>
      <c r="C89" s="2"/>
      <c r="D89" s="544" t="s">
        <v>34</v>
      </c>
      <c r="E89" s="545"/>
      <c r="F89" s="195">
        <v>20.6</v>
      </c>
      <c r="G89" s="197">
        <f>D84</f>
        <v>11896.480000000007</v>
      </c>
      <c r="H89" s="52" t="s">
        <v>60</v>
      </c>
      <c r="I89" s="57"/>
      <c r="J89" s="3"/>
      <c r="K89" s="5"/>
      <c r="L89" s="3"/>
      <c r="M89" s="3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s="6" customFormat="1" x14ac:dyDescent="0.25">
      <c r="A90" s="1"/>
      <c r="B90" s="2"/>
      <c r="C90" s="2"/>
      <c r="D90" s="544" t="s">
        <v>85</v>
      </c>
      <c r="E90" s="545"/>
      <c r="F90" s="194">
        <v>0</v>
      </c>
      <c r="G90" s="198">
        <f>G88-G89</f>
        <v>0</v>
      </c>
      <c r="H90" s="53" t="s">
        <v>50</v>
      </c>
      <c r="I90" s="3"/>
      <c r="J90" s="3"/>
      <c r="K90" s="5"/>
      <c r="L90" s="3"/>
      <c r="M90" s="3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s="6" customFormat="1" x14ac:dyDescent="0.25">
      <c r="A91" s="1"/>
      <c r="B91" s="2"/>
      <c r="C91" s="2"/>
      <c r="D91" s="533" t="s">
        <v>50</v>
      </c>
      <c r="E91" s="534"/>
      <c r="F91" s="196">
        <f>F88+F89+F90-F84</f>
        <v>0</v>
      </c>
      <c r="G91" s="84"/>
      <c r="H91" s="85"/>
      <c r="I91" s="3"/>
      <c r="J91" s="3"/>
      <c r="K91" s="5"/>
      <c r="L91" s="3"/>
      <c r="M91" s="3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</sheetData>
  <sheetProtection selectLockedCells="1" selectUnlockedCells="1"/>
  <mergeCells count="10">
    <mergeCell ref="R86:T86"/>
    <mergeCell ref="D88:E88"/>
    <mergeCell ref="D89:E89"/>
    <mergeCell ref="D90:E90"/>
    <mergeCell ref="I85:J85"/>
    <mergeCell ref="A1:B1"/>
    <mergeCell ref="D3:E3"/>
    <mergeCell ref="F3:G3"/>
    <mergeCell ref="D91:E91"/>
    <mergeCell ref="P86:Q86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135"/>
  <sheetViews>
    <sheetView showGridLines="0" topLeftCell="A32" workbookViewId="0">
      <selection activeCell="A33" sqref="A33:XFD33"/>
    </sheetView>
  </sheetViews>
  <sheetFormatPr baseColWidth="10" defaultColWidth="10.81640625" defaultRowHeight="10.5" x14ac:dyDescent="0.25"/>
  <cols>
    <col min="1" max="1" width="10.81640625" style="58"/>
    <col min="2" max="2" width="33.45312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10">
        <v>44843</v>
      </c>
      <c r="B2" s="56" t="s">
        <v>627</v>
      </c>
      <c r="C2" s="205"/>
      <c r="D2" s="204">
        <v>30</v>
      </c>
      <c r="E2" s="204"/>
      <c r="F2" s="204">
        <f t="shared" ref="F2:F16" si="0">SUM(C2:E2)</f>
        <v>30</v>
      </c>
      <c r="G2" s="211" t="s">
        <v>145</v>
      </c>
    </row>
    <row r="3" spans="1:35" ht="13" x14ac:dyDescent="0.3">
      <c r="A3" s="210">
        <v>44843</v>
      </c>
      <c r="B3" s="56" t="s">
        <v>628</v>
      </c>
      <c r="C3" s="205"/>
      <c r="D3" s="204"/>
      <c r="E3" s="204">
        <v>2</v>
      </c>
      <c r="F3" s="204">
        <f>SUM(C3:E3)</f>
        <v>2</v>
      </c>
      <c r="G3" s="211" t="s">
        <v>145</v>
      </c>
    </row>
    <row r="4" spans="1:35" ht="13" x14ac:dyDescent="0.3">
      <c r="A4" s="210">
        <v>44843</v>
      </c>
      <c r="B4" s="56" t="s">
        <v>629</v>
      </c>
      <c r="C4" s="205"/>
      <c r="D4" s="204">
        <v>47.5</v>
      </c>
      <c r="E4" s="204"/>
      <c r="F4" s="202">
        <f t="shared" si="0"/>
        <v>47.5</v>
      </c>
      <c r="G4" s="211" t="s">
        <v>145</v>
      </c>
    </row>
    <row r="5" spans="1:35" ht="13" x14ac:dyDescent="0.3">
      <c r="A5" s="210">
        <v>44843</v>
      </c>
      <c r="B5" s="56" t="s">
        <v>630</v>
      </c>
      <c r="C5" s="205"/>
      <c r="D5" s="204">
        <v>20</v>
      </c>
      <c r="E5" s="204"/>
      <c r="F5" s="202">
        <f t="shared" si="0"/>
        <v>20</v>
      </c>
      <c r="G5" s="211" t="s">
        <v>145</v>
      </c>
    </row>
    <row r="6" spans="1:35" ht="13" x14ac:dyDescent="0.3">
      <c r="A6" s="210">
        <v>44843</v>
      </c>
      <c r="B6" s="56" t="s">
        <v>631</v>
      </c>
      <c r="C6" s="205"/>
      <c r="D6" s="204"/>
      <c r="E6" s="204">
        <v>18</v>
      </c>
      <c r="F6" s="202">
        <f t="shared" si="0"/>
        <v>18</v>
      </c>
      <c r="G6" s="211" t="s">
        <v>145</v>
      </c>
    </row>
    <row r="7" spans="1:35" ht="13" x14ac:dyDescent="0.3">
      <c r="A7" s="210">
        <v>44843</v>
      </c>
      <c r="B7" s="56" t="s">
        <v>631</v>
      </c>
      <c r="C7" s="205"/>
      <c r="D7" s="204"/>
      <c r="E7" s="204">
        <v>2.5</v>
      </c>
      <c r="F7" s="202">
        <f t="shared" si="0"/>
        <v>2.5</v>
      </c>
      <c r="G7" s="211" t="s">
        <v>145</v>
      </c>
    </row>
    <row r="8" spans="1:35" ht="13" x14ac:dyDescent="0.3">
      <c r="A8" s="210">
        <v>44843</v>
      </c>
      <c r="B8" s="56" t="s">
        <v>632</v>
      </c>
      <c r="C8" s="205"/>
      <c r="D8" s="204"/>
      <c r="E8" s="204">
        <v>8</v>
      </c>
      <c r="F8" s="202">
        <f t="shared" si="0"/>
        <v>8</v>
      </c>
      <c r="G8" s="211" t="s">
        <v>145</v>
      </c>
    </row>
    <row r="9" spans="1:35" ht="13" x14ac:dyDescent="0.3">
      <c r="A9" s="210">
        <v>44843</v>
      </c>
      <c r="B9" s="56" t="s">
        <v>633</v>
      </c>
      <c r="C9" s="205"/>
      <c r="D9" s="204"/>
      <c r="E9" s="205">
        <v>9.5</v>
      </c>
      <c r="F9" s="202">
        <f t="shared" si="0"/>
        <v>9.5</v>
      </c>
      <c r="G9" s="211" t="s">
        <v>145</v>
      </c>
    </row>
    <row r="10" spans="1:35" s="162" customFormat="1" ht="13" x14ac:dyDescent="0.3">
      <c r="A10" s="210">
        <v>44843</v>
      </c>
      <c r="B10" s="56" t="s">
        <v>634</v>
      </c>
      <c r="C10" s="205"/>
      <c r="D10" s="200"/>
      <c r="E10" s="204">
        <v>16</v>
      </c>
      <c r="F10" s="202">
        <f t="shared" si="0"/>
        <v>16</v>
      </c>
      <c r="G10" s="211" t="s">
        <v>145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" customFormat="1" ht="13" x14ac:dyDescent="0.3">
      <c r="A11" s="210">
        <v>44851</v>
      </c>
      <c r="B11" s="56" t="s">
        <v>637</v>
      </c>
      <c r="C11" s="205"/>
      <c r="D11" s="200">
        <v>43.6</v>
      </c>
      <c r="E11" s="204"/>
      <c r="F11" s="202">
        <f t="shared" si="0"/>
        <v>43.6</v>
      </c>
      <c r="G11" s="211" t="s">
        <v>145</v>
      </c>
    </row>
    <row r="12" spans="1:35" s="3" customFormat="1" ht="13" x14ac:dyDescent="0.3">
      <c r="A12" s="210">
        <v>44851</v>
      </c>
      <c r="B12" s="56" t="s">
        <v>638</v>
      </c>
      <c r="C12" s="205"/>
      <c r="D12" s="200">
        <v>42.5</v>
      </c>
      <c r="E12" s="204"/>
      <c r="F12" s="202">
        <f t="shared" si="0"/>
        <v>42.5</v>
      </c>
      <c r="G12" s="211" t="s">
        <v>145</v>
      </c>
    </row>
    <row r="13" spans="1:35" s="3" customFormat="1" ht="13" x14ac:dyDescent="0.3">
      <c r="A13" s="210">
        <v>44851</v>
      </c>
      <c r="B13" s="56" t="s">
        <v>639</v>
      </c>
      <c r="C13" s="205"/>
      <c r="D13" s="200"/>
      <c r="E13" s="204">
        <v>5</v>
      </c>
      <c r="F13" s="202">
        <f t="shared" si="0"/>
        <v>5</v>
      </c>
      <c r="G13" s="211" t="s">
        <v>145</v>
      </c>
    </row>
    <row r="14" spans="1:35" s="3" customFormat="1" ht="13" x14ac:dyDescent="0.3">
      <c r="A14" s="210">
        <v>44851</v>
      </c>
      <c r="B14" s="56" t="s">
        <v>640</v>
      </c>
      <c r="C14" s="205"/>
      <c r="D14" s="200"/>
      <c r="E14" s="204">
        <v>54.5</v>
      </c>
      <c r="F14" s="202">
        <f t="shared" si="0"/>
        <v>54.5</v>
      </c>
      <c r="G14" s="211" t="s">
        <v>145</v>
      </c>
    </row>
    <row r="15" spans="1:35" s="3" customFormat="1" ht="13" x14ac:dyDescent="0.3">
      <c r="A15" s="210">
        <v>44851</v>
      </c>
      <c r="B15" s="56" t="s">
        <v>639</v>
      </c>
      <c r="C15" s="205"/>
      <c r="D15" s="200"/>
      <c r="E15" s="204">
        <v>34</v>
      </c>
      <c r="F15" s="202">
        <f t="shared" si="0"/>
        <v>34</v>
      </c>
      <c r="G15" s="211" t="s">
        <v>145</v>
      </c>
    </row>
    <row r="16" spans="1:35" s="3" customFormat="1" ht="13" x14ac:dyDescent="0.3">
      <c r="A16" s="210">
        <v>44851</v>
      </c>
      <c r="B16" s="56" t="s">
        <v>641</v>
      </c>
      <c r="C16" s="205"/>
      <c r="D16" s="200"/>
      <c r="E16" s="204">
        <v>22</v>
      </c>
      <c r="F16" s="202">
        <f t="shared" si="0"/>
        <v>22</v>
      </c>
      <c r="G16" s="211" t="s">
        <v>145</v>
      </c>
    </row>
    <row r="17" spans="1:7" s="3" customFormat="1" ht="13" x14ac:dyDescent="0.3">
      <c r="A17" s="210">
        <v>44851</v>
      </c>
      <c r="B17" s="56" t="s">
        <v>642</v>
      </c>
      <c r="C17" s="205"/>
      <c r="D17" s="200"/>
      <c r="E17" s="204">
        <v>27.5</v>
      </c>
      <c r="F17" s="202">
        <f t="shared" ref="F17:F21" si="1">SUM(C17:E17)</f>
        <v>27.5</v>
      </c>
      <c r="G17" s="211" t="s">
        <v>145</v>
      </c>
    </row>
    <row r="18" spans="1:7" s="3" customFormat="1" ht="13" x14ac:dyDescent="0.3">
      <c r="A18" s="210">
        <v>44857</v>
      </c>
      <c r="B18" s="56" t="s">
        <v>646</v>
      </c>
      <c r="C18" s="205"/>
      <c r="D18" s="200"/>
      <c r="E18" s="204">
        <v>7.5</v>
      </c>
      <c r="F18" s="202">
        <f t="shared" si="1"/>
        <v>7.5</v>
      </c>
      <c r="G18" s="211" t="s">
        <v>145</v>
      </c>
    </row>
    <row r="19" spans="1:7" s="3" customFormat="1" ht="13" x14ac:dyDescent="0.3">
      <c r="A19" s="210">
        <v>44857</v>
      </c>
      <c r="B19" s="56" t="s">
        <v>647</v>
      </c>
      <c r="C19" s="205"/>
      <c r="D19" s="200">
        <v>34</v>
      </c>
      <c r="E19" s="204"/>
      <c r="F19" s="202">
        <f t="shared" si="1"/>
        <v>34</v>
      </c>
      <c r="G19" s="211" t="s">
        <v>145</v>
      </c>
    </row>
    <row r="20" spans="1:7" s="3" customFormat="1" ht="13" x14ac:dyDescent="0.3">
      <c r="A20" s="210">
        <v>44857</v>
      </c>
      <c r="B20" s="56" t="s">
        <v>648</v>
      </c>
      <c r="C20" s="205"/>
      <c r="D20" s="200"/>
      <c r="E20" s="204">
        <v>10.5</v>
      </c>
      <c r="F20" s="202">
        <f t="shared" si="1"/>
        <v>10.5</v>
      </c>
      <c r="G20" s="211" t="s">
        <v>145</v>
      </c>
    </row>
    <row r="21" spans="1:7" s="3" customFormat="1" ht="13" x14ac:dyDescent="0.3">
      <c r="A21" s="210">
        <v>44857</v>
      </c>
      <c r="B21" s="56" t="s">
        <v>649</v>
      </c>
      <c r="C21" s="205"/>
      <c r="D21" s="200"/>
      <c r="E21" s="204">
        <v>50</v>
      </c>
      <c r="F21" s="202">
        <f t="shared" si="1"/>
        <v>50</v>
      </c>
      <c r="G21" s="211" t="s">
        <v>145</v>
      </c>
    </row>
    <row r="22" spans="1:7" s="3" customFormat="1" ht="13" x14ac:dyDescent="0.3">
      <c r="A22" s="210">
        <v>44857</v>
      </c>
      <c r="B22" s="56" t="s">
        <v>650</v>
      </c>
      <c r="C22" s="205"/>
      <c r="D22" s="200">
        <v>16</v>
      </c>
      <c r="E22" s="204"/>
      <c r="F22" s="202">
        <f t="shared" ref="F22:F25" si="2">SUM(C22:E22)</f>
        <v>16</v>
      </c>
      <c r="G22" s="211" t="s">
        <v>145</v>
      </c>
    </row>
    <row r="23" spans="1:7" s="3" customFormat="1" ht="13" x14ac:dyDescent="0.3">
      <c r="A23" s="210">
        <v>44857</v>
      </c>
      <c r="B23" s="56" t="s">
        <v>651</v>
      </c>
      <c r="C23" s="205"/>
      <c r="D23" s="200"/>
      <c r="E23" s="204">
        <v>32</v>
      </c>
      <c r="F23" s="202">
        <f t="shared" si="2"/>
        <v>32</v>
      </c>
      <c r="G23" s="211" t="s">
        <v>145</v>
      </c>
    </row>
    <row r="24" spans="1:7" s="3" customFormat="1" ht="13" x14ac:dyDescent="0.3">
      <c r="A24" s="210">
        <v>44857</v>
      </c>
      <c r="B24" s="56" t="s">
        <v>652</v>
      </c>
      <c r="C24" s="205"/>
      <c r="D24" s="200"/>
      <c r="E24" s="204">
        <v>40</v>
      </c>
      <c r="F24" s="202">
        <f t="shared" si="2"/>
        <v>40</v>
      </c>
      <c r="G24" s="211" t="s">
        <v>145</v>
      </c>
    </row>
    <row r="25" spans="1:7" s="3" customFormat="1" ht="13" x14ac:dyDescent="0.3">
      <c r="A25" s="210">
        <v>44863</v>
      </c>
      <c r="B25" s="56" t="s">
        <v>654</v>
      </c>
      <c r="C25" s="205"/>
      <c r="D25" s="200">
        <v>23</v>
      </c>
      <c r="E25" s="204"/>
      <c r="F25" s="202">
        <f t="shared" si="2"/>
        <v>23</v>
      </c>
      <c r="G25" s="211" t="s">
        <v>145</v>
      </c>
    </row>
    <row r="26" spans="1:7" s="3" customFormat="1" ht="13" x14ac:dyDescent="0.3">
      <c r="A26" s="210">
        <v>44863</v>
      </c>
      <c r="B26" s="56" t="s">
        <v>655</v>
      </c>
      <c r="C26" s="205"/>
      <c r="D26" s="200"/>
      <c r="E26" s="204">
        <v>63</v>
      </c>
      <c r="F26" s="202">
        <f t="shared" ref="F26:F27" si="3">SUM(C26:E26)</f>
        <v>63</v>
      </c>
      <c r="G26" s="211" t="s">
        <v>145</v>
      </c>
    </row>
    <row r="27" spans="1:7" s="3" customFormat="1" ht="13" x14ac:dyDescent="0.3">
      <c r="A27" s="210">
        <v>44863</v>
      </c>
      <c r="B27" s="56" t="s">
        <v>656</v>
      </c>
      <c r="C27" s="205"/>
      <c r="D27" s="200"/>
      <c r="E27" s="204">
        <v>107</v>
      </c>
      <c r="F27" s="202">
        <f t="shared" si="3"/>
        <v>107</v>
      </c>
      <c r="G27" s="211" t="s">
        <v>145</v>
      </c>
    </row>
    <row r="28" spans="1:7" s="3" customFormat="1" ht="13" x14ac:dyDescent="0.3">
      <c r="A28" s="210">
        <v>44863</v>
      </c>
      <c r="B28" s="56" t="s">
        <v>653</v>
      </c>
      <c r="C28" s="205"/>
      <c r="D28" s="200"/>
      <c r="E28" s="204">
        <v>22</v>
      </c>
      <c r="F28" s="202">
        <f t="shared" ref="F28:F31" si="4">SUM(C28:E28)</f>
        <v>22</v>
      </c>
      <c r="G28" s="211" t="s">
        <v>145</v>
      </c>
    </row>
    <row r="29" spans="1:7" s="3" customFormat="1" ht="13" x14ac:dyDescent="0.3">
      <c r="A29" s="210">
        <v>44863</v>
      </c>
      <c r="B29" s="56" t="s">
        <v>653</v>
      </c>
      <c r="C29" s="205"/>
      <c r="D29" s="200"/>
      <c r="E29" s="204">
        <v>20</v>
      </c>
      <c r="F29" s="202">
        <f t="shared" si="4"/>
        <v>20</v>
      </c>
      <c r="G29" s="211" t="s">
        <v>145</v>
      </c>
    </row>
    <row r="30" spans="1:7" s="3" customFormat="1" ht="13" x14ac:dyDescent="0.3">
      <c r="A30" s="210">
        <v>44863</v>
      </c>
      <c r="B30" s="56" t="s">
        <v>657</v>
      </c>
      <c r="C30" s="205"/>
      <c r="D30" s="200"/>
      <c r="E30" s="204">
        <v>8</v>
      </c>
      <c r="F30" s="202">
        <f t="shared" si="4"/>
        <v>8</v>
      </c>
      <c r="G30" s="211" t="s">
        <v>145</v>
      </c>
    </row>
    <row r="31" spans="1:7" s="3" customFormat="1" ht="13" x14ac:dyDescent="0.3">
      <c r="A31" s="210">
        <v>44863</v>
      </c>
      <c r="B31" s="56" t="s">
        <v>658</v>
      </c>
      <c r="C31" s="205"/>
      <c r="D31" s="200"/>
      <c r="E31" s="204">
        <v>23.5</v>
      </c>
      <c r="F31" s="202">
        <f t="shared" si="4"/>
        <v>23.5</v>
      </c>
      <c r="G31" s="211" t="s">
        <v>145</v>
      </c>
    </row>
    <row r="32" spans="1:7" s="3" customFormat="1" ht="13" x14ac:dyDescent="0.3">
      <c r="A32" s="210">
        <v>44863</v>
      </c>
      <c r="B32" s="56" t="s">
        <v>659</v>
      </c>
      <c r="C32" s="205"/>
      <c r="D32" s="200"/>
      <c r="E32" s="204">
        <v>42</v>
      </c>
      <c r="F32" s="202">
        <f t="shared" ref="F32" si="5">SUM(C32:E32)</f>
        <v>42</v>
      </c>
      <c r="G32" s="211" t="s">
        <v>145</v>
      </c>
    </row>
    <row r="33" spans="1:7" s="3" customFormat="1" ht="13" thickBot="1" x14ac:dyDescent="0.3">
      <c r="A33" s="212"/>
      <c r="B33" s="213" t="s">
        <v>0</v>
      </c>
      <c r="C33" s="214">
        <f>SUM(C2:C32)</f>
        <v>0</v>
      </c>
      <c r="D33" s="214">
        <f>SUM(D2:D32)</f>
        <v>256.60000000000002</v>
      </c>
      <c r="E33" s="214">
        <f>SUM(E2:E32)</f>
        <v>624.5</v>
      </c>
      <c r="F33" s="215">
        <f>SUM(C33:E33)</f>
        <v>881.1</v>
      </c>
      <c r="G33" s="216"/>
    </row>
    <row r="34" spans="1:7" s="3" customFormat="1" ht="11" thickTop="1" x14ac:dyDescent="0.25">
      <c r="D34" s="1"/>
      <c r="E34" s="1"/>
    </row>
    <row r="35" spans="1:7" s="3" customFormat="1" x14ac:dyDescent="0.25">
      <c r="D35" s="1"/>
      <c r="E35" s="1"/>
    </row>
    <row r="36" spans="1:7" s="3" customFormat="1" x14ac:dyDescent="0.25">
      <c r="D36" s="1"/>
      <c r="E36" s="1"/>
    </row>
    <row r="37" spans="1:7" s="3" customFormat="1" x14ac:dyDescent="0.25">
      <c r="D37" s="1"/>
      <c r="E37" s="1"/>
    </row>
    <row r="38" spans="1:7" s="3" customFormat="1" x14ac:dyDescent="0.25">
      <c r="D38" s="1"/>
      <c r="E38" s="1"/>
    </row>
    <row r="39" spans="1:7" s="3" customFormat="1" x14ac:dyDescent="0.25">
      <c r="D39" s="1"/>
      <c r="E39" s="1"/>
    </row>
    <row r="40" spans="1:7" s="3" customFormat="1" x14ac:dyDescent="0.25">
      <c r="D40" s="1"/>
      <c r="E40" s="1"/>
    </row>
    <row r="41" spans="1:7" s="3" customFormat="1" x14ac:dyDescent="0.25">
      <c r="D41" s="1"/>
      <c r="E41" s="1"/>
    </row>
    <row r="42" spans="1:7" s="3" customFormat="1" x14ac:dyDescent="0.25">
      <c r="D42" s="1"/>
      <c r="E42" s="1"/>
    </row>
    <row r="43" spans="1:7" s="3" customFormat="1" x14ac:dyDescent="0.25">
      <c r="D43" s="1"/>
      <c r="E43" s="1"/>
    </row>
    <row r="44" spans="1:7" s="3" customFormat="1" x14ac:dyDescent="0.25">
      <c r="D44" s="1"/>
      <c r="E44" s="1"/>
    </row>
    <row r="45" spans="1:7" s="3" customFormat="1" x14ac:dyDescent="0.25">
      <c r="D45" s="1"/>
      <c r="E45" s="1"/>
    </row>
    <row r="46" spans="1:7" s="3" customFormat="1" x14ac:dyDescent="0.25">
      <c r="D46" s="1"/>
      <c r="E46" s="1"/>
    </row>
    <row r="47" spans="1:7" s="3" customFormat="1" x14ac:dyDescent="0.25">
      <c r="D47" s="1"/>
      <c r="E47" s="1"/>
    </row>
    <row r="48" spans="1:7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  <row r="1133" spans="4:5" s="3" customFormat="1" x14ac:dyDescent="0.25">
      <c r="D1133" s="1"/>
      <c r="E1133" s="1"/>
    </row>
    <row r="1134" spans="4:5" s="3" customFormat="1" x14ac:dyDescent="0.25">
      <c r="D1134" s="1"/>
      <c r="E1134" s="1"/>
    </row>
    <row r="1135" spans="4:5" s="3" customFormat="1" x14ac:dyDescent="0.25">
      <c r="D1135" s="1"/>
      <c r="E1135" s="1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1129"/>
  <sheetViews>
    <sheetView showGridLines="0" workbookViewId="0">
      <selection activeCell="A19" sqref="A19:XFD19"/>
    </sheetView>
  </sheetViews>
  <sheetFormatPr baseColWidth="10" defaultColWidth="10.81640625" defaultRowHeight="10.5" x14ac:dyDescent="0.25"/>
  <cols>
    <col min="1" max="1" width="10.81640625" style="58"/>
    <col min="2" max="2" width="29.5429687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7" ht="13" thickTop="1" x14ac:dyDescent="0.25">
      <c r="A1" s="206" t="s">
        <v>55</v>
      </c>
      <c r="B1" s="208" t="s">
        <v>622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7" ht="12.5" x14ac:dyDescent="0.25">
      <c r="A2" s="210">
        <v>44835</v>
      </c>
      <c r="B2" s="56" t="s">
        <v>363</v>
      </c>
      <c r="C2" s="199"/>
      <c r="D2" s="200">
        <v>100</v>
      </c>
      <c r="E2" s="201"/>
      <c r="F2" s="202">
        <f t="shared" ref="F2:F11" si="0">SUM(C2:E2)</f>
        <v>100</v>
      </c>
      <c r="G2" s="217" t="s">
        <v>145</v>
      </c>
    </row>
    <row r="3" spans="1:7" ht="12.5" x14ac:dyDescent="0.25">
      <c r="A3" s="210">
        <v>44835</v>
      </c>
      <c r="B3" s="56" t="s">
        <v>623</v>
      </c>
      <c r="C3" s="199">
        <v>52</v>
      </c>
      <c r="D3" s="200"/>
      <c r="E3" s="203"/>
      <c r="F3" s="202">
        <f t="shared" si="0"/>
        <v>52</v>
      </c>
      <c r="G3" s="217" t="s">
        <v>145</v>
      </c>
    </row>
    <row r="4" spans="1:7" ht="12.5" x14ac:dyDescent="0.25">
      <c r="A4" s="210">
        <v>44836</v>
      </c>
      <c r="B4" s="56" t="s">
        <v>624</v>
      </c>
      <c r="C4" s="199">
        <v>70</v>
      </c>
      <c r="D4" s="200"/>
      <c r="E4" s="203"/>
      <c r="F4" s="204">
        <f t="shared" si="0"/>
        <v>70</v>
      </c>
      <c r="G4" s="217" t="s">
        <v>145</v>
      </c>
    </row>
    <row r="5" spans="1:7" ht="12.5" x14ac:dyDescent="0.25">
      <c r="A5" s="210">
        <v>44836</v>
      </c>
      <c r="B5" s="56" t="s">
        <v>346</v>
      </c>
      <c r="C5" s="199">
        <v>75</v>
      </c>
      <c r="D5" s="200"/>
      <c r="E5" s="203"/>
      <c r="F5" s="204">
        <f t="shared" si="0"/>
        <v>75</v>
      </c>
      <c r="G5" s="217" t="s">
        <v>145</v>
      </c>
    </row>
    <row r="6" spans="1:7" ht="12.5" x14ac:dyDescent="0.25">
      <c r="A6" s="210">
        <v>44837</v>
      </c>
      <c r="B6" s="56" t="s">
        <v>625</v>
      </c>
      <c r="C6" s="199">
        <v>96</v>
      </c>
      <c r="D6" s="200"/>
      <c r="E6" s="203"/>
      <c r="F6" s="204">
        <f t="shared" si="0"/>
        <v>96</v>
      </c>
      <c r="G6" s="217" t="s">
        <v>145</v>
      </c>
    </row>
    <row r="7" spans="1:7" ht="12.5" x14ac:dyDescent="0.25">
      <c r="A7" s="210">
        <v>44839</v>
      </c>
      <c r="B7" s="56" t="s">
        <v>306</v>
      </c>
      <c r="C7" s="199">
        <v>52.38</v>
      </c>
      <c r="D7" s="200"/>
      <c r="E7" s="203"/>
      <c r="F7" s="204">
        <f t="shared" si="0"/>
        <v>52.38</v>
      </c>
      <c r="G7" s="217" t="s">
        <v>145</v>
      </c>
    </row>
    <row r="8" spans="1:7" ht="12.5" x14ac:dyDescent="0.25">
      <c r="A8" s="210">
        <v>44843</v>
      </c>
      <c r="B8" s="56" t="s">
        <v>426</v>
      </c>
      <c r="C8" s="199">
        <v>50</v>
      </c>
      <c r="D8" s="200"/>
      <c r="E8" s="203"/>
      <c r="F8" s="204">
        <f t="shared" si="0"/>
        <v>50</v>
      </c>
      <c r="G8" s="217" t="s">
        <v>145</v>
      </c>
    </row>
    <row r="9" spans="1:7" ht="12.5" x14ac:dyDescent="0.25">
      <c r="A9" s="210">
        <v>44845</v>
      </c>
      <c r="B9" s="56" t="s">
        <v>298</v>
      </c>
      <c r="C9" s="199">
        <v>50</v>
      </c>
      <c r="D9" s="200"/>
      <c r="E9" s="203"/>
      <c r="F9" s="204">
        <f t="shared" si="0"/>
        <v>50</v>
      </c>
      <c r="G9" s="217" t="s">
        <v>145</v>
      </c>
    </row>
    <row r="10" spans="1:7" ht="12.5" x14ac:dyDescent="0.25">
      <c r="A10" s="210">
        <v>44847</v>
      </c>
      <c r="B10" s="56" t="s">
        <v>636</v>
      </c>
      <c r="C10" s="199">
        <v>60</v>
      </c>
      <c r="D10" s="200"/>
      <c r="E10" s="203"/>
      <c r="F10" s="204">
        <f t="shared" si="0"/>
        <v>60</v>
      </c>
      <c r="G10" s="217" t="s">
        <v>145</v>
      </c>
    </row>
    <row r="11" spans="1:7" ht="12.5" x14ac:dyDescent="0.25">
      <c r="A11" s="210">
        <v>44851</v>
      </c>
      <c r="B11" s="56" t="s">
        <v>270</v>
      </c>
      <c r="C11" s="199">
        <v>50</v>
      </c>
      <c r="D11" s="200"/>
      <c r="E11" s="203"/>
      <c r="F11" s="204">
        <f t="shared" si="0"/>
        <v>50</v>
      </c>
      <c r="G11" s="217" t="s">
        <v>145</v>
      </c>
    </row>
    <row r="12" spans="1:7" ht="12.5" x14ac:dyDescent="0.25">
      <c r="A12" s="210">
        <v>44851</v>
      </c>
      <c r="B12" s="56" t="s">
        <v>322</v>
      </c>
      <c r="C12" s="199"/>
      <c r="D12" s="200">
        <v>150</v>
      </c>
      <c r="E12" s="203"/>
      <c r="F12" s="204">
        <f t="shared" ref="F12:F15" si="1">SUM(C12:E12)</f>
        <v>150</v>
      </c>
      <c r="G12" s="217" t="s">
        <v>145</v>
      </c>
    </row>
    <row r="13" spans="1:7" ht="12.5" x14ac:dyDescent="0.25">
      <c r="A13" s="210">
        <v>44852</v>
      </c>
      <c r="B13" s="56" t="s">
        <v>449</v>
      </c>
      <c r="C13" s="199">
        <v>600</v>
      </c>
      <c r="D13" s="200"/>
      <c r="E13" s="203"/>
      <c r="F13" s="204">
        <f t="shared" si="1"/>
        <v>600</v>
      </c>
      <c r="G13" s="217" t="s">
        <v>145</v>
      </c>
    </row>
    <row r="14" spans="1:7" ht="12.5" x14ac:dyDescent="0.25">
      <c r="A14" s="210">
        <v>44863</v>
      </c>
      <c r="B14" s="56" t="s">
        <v>623</v>
      </c>
      <c r="C14" s="199">
        <v>21</v>
      </c>
      <c r="D14" s="200"/>
      <c r="E14" s="203"/>
      <c r="F14" s="204">
        <f t="shared" ref="F14" si="2">SUM(C14:E14)</f>
        <v>21</v>
      </c>
      <c r="G14" s="217" t="s">
        <v>145</v>
      </c>
    </row>
    <row r="15" spans="1:7" ht="12.5" x14ac:dyDescent="0.25">
      <c r="A15" s="210">
        <v>44864</v>
      </c>
      <c r="B15" s="56" t="s">
        <v>596</v>
      </c>
      <c r="C15" s="199"/>
      <c r="D15" s="200">
        <v>47</v>
      </c>
      <c r="E15" s="203"/>
      <c r="F15" s="204">
        <f t="shared" si="1"/>
        <v>47</v>
      </c>
      <c r="G15" s="217" t="s">
        <v>145</v>
      </c>
    </row>
    <row r="16" spans="1:7" ht="12.5" x14ac:dyDescent="0.25">
      <c r="A16" s="210">
        <v>44864</v>
      </c>
      <c r="B16" s="56" t="s">
        <v>623</v>
      </c>
      <c r="C16" s="199"/>
      <c r="D16" s="200">
        <v>80</v>
      </c>
      <c r="E16" s="203"/>
      <c r="F16" s="204">
        <f t="shared" ref="F16:F18" si="3">SUM(C16:E16)</f>
        <v>80</v>
      </c>
      <c r="G16" s="217" t="s">
        <v>145</v>
      </c>
    </row>
    <row r="17" spans="1:35" ht="12.5" x14ac:dyDescent="0.25">
      <c r="A17" s="210">
        <v>44865</v>
      </c>
      <c r="B17" s="56" t="s">
        <v>662</v>
      </c>
      <c r="C17" s="199">
        <v>200.03</v>
      </c>
      <c r="D17" s="200"/>
      <c r="E17" s="203"/>
      <c r="F17" s="204">
        <f t="shared" si="3"/>
        <v>200.03</v>
      </c>
      <c r="G17" s="217" t="s">
        <v>145</v>
      </c>
    </row>
    <row r="18" spans="1:35" ht="12.5" x14ac:dyDescent="0.25">
      <c r="A18" s="210">
        <v>44865</v>
      </c>
      <c r="B18" s="56" t="s">
        <v>663</v>
      </c>
      <c r="C18" s="199"/>
      <c r="D18" s="200">
        <v>50</v>
      </c>
      <c r="E18" s="203"/>
      <c r="F18" s="204">
        <f t="shared" si="3"/>
        <v>50</v>
      </c>
      <c r="G18" s="217" t="s">
        <v>145</v>
      </c>
    </row>
    <row r="19" spans="1:35" s="162" customFormat="1" ht="13" thickBot="1" x14ac:dyDescent="0.3">
      <c r="A19" s="212"/>
      <c r="B19" s="213" t="s">
        <v>0</v>
      </c>
      <c r="C19" s="214">
        <f>SUM(C2:C18)</f>
        <v>1376.41</v>
      </c>
      <c r="D19" s="214">
        <f>SUM(D2:D18)</f>
        <v>427</v>
      </c>
      <c r="E19" s="214">
        <f>SUM(E2:E18)</f>
        <v>0</v>
      </c>
      <c r="F19" s="215">
        <f>SUM(F2:F18)</f>
        <v>1803.41</v>
      </c>
      <c r="G19" s="2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3" customFormat="1" ht="11" thickTop="1" x14ac:dyDescent="0.25">
      <c r="D20" s="1"/>
      <c r="E20" s="1"/>
    </row>
    <row r="21" spans="1:35" s="3" customFormat="1" x14ac:dyDescent="0.25">
      <c r="D21" s="1"/>
      <c r="E21" s="1"/>
    </row>
    <row r="22" spans="1:35" s="3" customFormat="1" x14ac:dyDescent="0.25">
      <c r="D22" s="1"/>
      <c r="E22" s="1"/>
    </row>
    <row r="23" spans="1:35" s="3" customFormat="1" x14ac:dyDescent="0.25">
      <c r="D23" s="1"/>
      <c r="E23" s="1"/>
    </row>
    <row r="24" spans="1:35" s="3" customFormat="1" x14ac:dyDescent="0.25">
      <c r="D24" s="1"/>
      <c r="E24" s="1"/>
    </row>
    <row r="25" spans="1:35" s="3" customFormat="1" x14ac:dyDescent="0.25">
      <c r="D25" s="1"/>
      <c r="E25" s="1"/>
    </row>
    <row r="26" spans="1:35" s="3" customFormat="1" x14ac:dyDescent="0.25">
      <c r="D26" s="1"/>
      <c r="E26" s="1"/>
    </row>
    <row r="27" spans="1:35" s="3" customFormat="1" x14ac:dyDescent="0.25">
      <c r="D27" s="1"/>
      <c r="E27" s="1"/>
    </row>
    <row r="28" spans="1:35" s="3" customFormat="1" x14ac:dyDescent="0.25">
      <c r="D28" s="1"/>
      <c r="E28" s="1"/>
    </row>
    <row r="29" spans="1:35" s="3" customFormat="1" x14ac:dyDescent="0.25">
      <c r="D29" s="1"/>
      <c r="E29" s="1"/>
    </row>
    <row r="30" spans="1:35" s="3" customFormat="1" x14ac:dyDescent="0.25">
      <c r="D30" s="1"/>
      <c r="E30" s="1"/>
    </row>
    <row r="31" spans="1:35" s="3" customFormat="1" x14ac:dyDescent="0.25">
      <c r="D31" s="1"/>
      <c r="E31" s="1"/>
    </row>
    <row r="32" spans="1:3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E35A-DDD8-4EF5-B24D-6B367F8ABE7D}">
  <dimension ref="A1:DK85"/>
  <sheetViews>
    <sheetView showGridLines="0" zoomScale="84" zoomScaleNormal="84" workbookViewId="0">
      <selection activeCell="A14" sqref="A14:B14"/>
    </sheetView>
  </sheetViews>
  <sheetFormatPr baseColWidth="10" defaultRowHeight="12.5" x14ac:dyDescent="0.25"/>
  <cols>
    <col min="1" max="1" width="9.81640625" customWidth="1"/>
    <col min="2" max="2" width="31.5429687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66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v>8688.2800000000025</v>
      </c>
      <c r="E5" s="179"/>
      <c r="F5" s="180">
        <v>165.96999999999986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8854.2500000000018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170" customFormat="1" ht="12" customHeight="1" x14ac:dyDescent="0.25">
      <c r="A6" s="271">
        <v>44564</v>
      </c>
      <c r="B6" s="222" t="s">
        <v>150</v>
      </c>
      <c r="C6" s="272" t="s">
        <v>145</v>
      </c>
      <c r="D6" s="283"/>
      <c r="E6" s="223">
        <v>0</v>
      </c>
      <c r="F6" s="224"/>
      <c r="G6" s="284"/>
      <c r="H6" s="302"/>
      <c r="I6" s="225"/>
      <c r="J6" s="225"/>
      <c r="K6" s="226"/>
      <c r="L6" s="225"/>
      <c r="M6" s="225"/>
      <c r="N6" s="225"/>
      <c r="O6" s="303"/>
      <c r="P6" s="316"/>
      <c r="Q6" s="227"/>
      <c r="R6" s="227"/>
      <c r="S6" s="227"/>
      <c r="T6" s="227"/>
      <c r="U6" s="228"/>
      <c r="V6" s="227">
        <v>0</v>
      </c>
      <c r="W6" s="229"/>
      <c r="X6" s="227"/>
      <c r="Y6" s="227"/>
      <c r="Z6" s="227"/>
      <c r="AA6" s="317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170" customFormat="1" ht="12" customHeight="1" x14ac:dyDescent="0.25">
      <c r="A7" s="273">
        <v>44565</v>
      </c>
      <c r="B7" s="231" t="s">
        <v>132</v>
      </c>
      <c r="C7" s="274" t="s">
        <v>145</v>
      </c>
      <c r="D7" s="285"/>
      <c r="E7" s="218">
        <v>312</v>
      </c>
      <c r="F7" s="219"/>
      <c r="G7" s="286"/>
      <c r="H7" s="304"/>
      <c r="I7" s="185"/>
      <c r="J7" s="185"/>
      <c r="K7" s="186"/>
      <c r="L7" s="185"/>
      <c r="M7" s="185"/>
      <c r="N7" s="185"/>
      <c r="O7" s="305"/>
      <c r="P7" s="318"/>
      <c r="Q7" s="191"/>
      <c r="R7" s="191"/>
      <c r="S7" s="191"/>
      <c r="T7" s="191"/>
      <c r="U7" s="232"/>
      <c r="V7" s="191">
        <v>312</v>
      </c>
      <c r="W7" s="192"/>
      <c r="X7" s="191"/>
      <c r="Y7" s="191"/>
      <c r="Z7" s="191"/>
      <c r="AA7" s="319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170" customFormat="1" ht="12" customHeight="1" x14ac:dyDescent="0.25">
      <c r="A8" s="273">
        <v>44565</v>
      </c>
      <c r="B8" s="231" t="s">
        <v>135</v>
      </c>
      <c r="C8" s="274" t="s">
        <v>145</v>
      </c>
      <c r="D8" s="285"/>
      <c r="E8" s="218">
        <v>198</v>
      </c>
      <c r="F8" s="219"/>
      <c r="G8" s="286"/>
      <c r="H8" s="304"/>
      <c r="I8" s="185"/>
      <c r="J8" s="185"/>
      <c r="K8" s="186"/>
      <c r="L8" s="185"/>
      <c r="M8" s="185"/>
      <c r="N8" s="185"/>
      <c r="O8" s="305"/>
      <c r="P8" s="318"/>
      <c r="Q8" s="191"/>
      <c r="R8" s="191"/>
      <c r="S8" s="191"/>
      <c r="T8" s="191"/>
      <c r="U8" s="232"/>
      <c r="V8" s="191">
        <v>198</v>
      </c>
      <c r="W8" s="192"/>
      <c r="X8" s="191"/>
      <c r="Y8" s="191"/>
      <c r="Z8" s="191"/>
      <c r="AA8" s="319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170" customFormat="1" ht="12" customHeight="1" x14ac:dyDescent="0.25">
      <c r="A9" s="273">
        <v>44565</v>
      </c>
      <c r="B9" s="231" t="s">
        <v>133</v>
      </c>
      <c r="C9" s="274" t="s">
        <v>145</v>
      </c>
      <c r="D9" s="285"/>
      <c r="E9" s="218">
        <v>16.79</v>
      </c>
      <c r="F9" s="219"/>
      <c r="G9" s="286"/>
      <c r="H9" s="304"/>
      <c r="I9" s="185"/>
      <c r="J9" s="185"/>
      <c r="K9" s="186"/>
      <c r="L9" s="185"/>
      <c r="M9" s="185"/>
      <c r="N9" s="185"/>
      <c r="O9" s="305"/>
      <c r="P9" s="318"/>
      <c r="Q9" s="191"/>
      <c r="R9" s="191"/>
      <c r="S9" s="191"/>
      <c r="T9" s="191"/>
      <c r="U9" s="232"/>
      <c r="V9" s="191">
        <v>16.79</v>
      </c>
      <c r="W9" s="192"/>
      <c r="X9" s="191"/>
      <c r="Y9" s="191"/>
      <c r="Z9" s="191"/>
      <c r="AA9" s="319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170" customFormat="1" ht="12" customHeight="1" x14ac:dyDescent="0.25">
      <c r="A10" s="273">
        <v>44565</v>
      </c>
      <c r="B10" s="231" t="s">
        <v>134</v>
      </c>
      <c r="C10" s="274" t="s">
        <v>145</v>
      </c>
      <c r="D10" s="285"/>
      <c r="E10" s="218">
        <v>16.79</v>
      </c>
      <c r="F10" s="219"/>
      <c r="G10" s="286"/>
      <c r="H10" s="304"/>
      <c r="I10" s="185"/>
      <c r="J10" s="185"/>
      <c r="K10" s="186"/>
      <c r="L10" s="185"/>
      <c r="M10" s="185"/>
      <c r="N10" s="185"/>
      <c r="O10" s="305"/>
      <c r="P10" s="318"/>
      <c r="Q10" s="191"/>
      <c r="R10" s="191"/>
      <c r="S10" s="191"/>
      <c r="T10" s="191"/>
      <c r="U10" s="232"/>
      <c r="V10" s="191">
        <v>16.79</v>
      </c>
      <c r="W10" s="192"/>
      <c r="X10" s="191"/>
      <c r="Y10" s="191"/>
      <c r="Z10" s="191"/>
      <c r="AA10" s="319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170" customFormat="1" ht="12" customHeight="1" x14ac:dyDescent="0.25">
      <c r="A11" s="273">
        <v>44565</v>
      </c>
      <c r="B11" s="231" t="s">
        <v>136</v>
      </c>
      <c r="C11" s="274" t="s">
        <v>145</v>
      </c>
      <c r="D11" s="285"/>
      <c r="E11" s="218">
        <v>1.42</v>
      </c>
      <c r="F11" s="219"/>
      <c r="G11" s="286"/>
      <c r="H11" s="304"/>
      <c r="I11" s="185"/>
      <c r="J11" s="185"/>
      <c r="K11" s="186"/>
      <c r="L11" s="185"/>
      <c r="M11" s="185"/>
      <c r="N11" s="185"/>
      <c r="O11" s="305"/>
      <c r="P11" s="318"/>
      <c r="Q11" s="191"/>
      <c r="R11" s="191"/>
      <c r="S11" s="191"/>
      <c r="T11" s="191"/>
      <c r="U11" s="232"/>
      <c r="V11" s="191">
        <v>1.42</v>
      </c>
      <c r="W11" s="192"/>
      <c r="X11" s="191"/>
      <c r="Y11" s="191"/>
      <c r="Z11" s="191"/>
      <c r="AA11" s="319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170" customFormat="1" ht="12" customHeight="1" x14ac:dyDescent="0.25">
      <c r="A12" s="273">
        <v>44565</v>
      </c>
      <c r="B12" s="231" t="s">
        <v>143</v>
      </c>
      <c r="C12" s="274" t="s">
        <v>145</v>
      </c>
      <c r="D12" s="285">
        <v>203.52</v>
      </c>
      <c r="E12" s="218"/>
      <c r="F12" s="219"/>
      <c r="G12" s="286"/>
      <c r="H12" s="304"/>
      <c r="I12" s="185">
        <v>203.52</v>
      </c>
      <c r="J12" s="185"/>
      <c r="K12" s="186"/>
      <c r="L12" s="185"/>
      <c r="M12" s="185"/>
      <c r="N12" s="185"/>
      <c r="O12" s="305"/>
      <c r="P12" s="318"/>
      <c r="Q12" s="191"/>
      <c r="R12" s="191"/>
      <c r="S12" s="191"/>
      <c r="T12" s="191"/>
      <c r="U12" s="232"/>
      <c r="V12" s="191"/>
      <c r="W12" s="192"/>
      <c r="X12" s="191"/>
      <c r="Y12" s="191"/>
      <c r="Z12" s="191"/>
      <c r="AA12" s="319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170" customFormat="1" ht="12" customHeight="1" x14ac:dyDescent="0.25">
      <c r="A13" s="273">
        <v>44565</v>
      </c>
      <c r="B13" s="231" t="s">
        <v>144</v>
      </c>
      <c r="C13" s="274" t="s">
        <v>145</v>
      </c>
      <c r="D13" s="285">
        <v>58.34</v>
      </c>
      <c r="E13" s="218"/>
      <c r="F13" s="219"/>
      <c r="G13" s="286"/>
      <c r="H13" s="304"/>
      <c r="I13" s="185">
        <v>58.34</v>
      </c>
      <c r="J13" s="185"/>
      <c r="K13" s="186"/>
      <c r="L13" s="185"/>
      <c r="M13" s="185"/>
      <c r="N13" s="185"/>
      <c r="O13" s="305"/>
      <c r="P13" s="318"/>
      <c r="Q13" s="191"/>
      <c r="R13" s="191"/>
      <c r="S13" s="191"/>
      <c r="T13" s="191"/>
      <c r="U13" s="232"/>
      <c r="V13" s="191"/>
      <c r="W13" s="192"/>
      <c r="X13" s="191"/>
      <c r="Y13" s="191"/>
      <c r="Z13" s="191"/>
      <c r="AA13" s="319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170" customFormat="1" ht="12" customHeight="1" x14ac:dyDescent="0.25">
      <c r="A14" s="273">
        <v>44565</v>
      </c>
      <c r="B14" s="231" t="s">
        <v>138</v>
      </c>
      <c r="C14" s="274" t="s">
        <v>145</v>
      </c>
      <c r="D14" s="285"/>
      <c r="E14" s="218">
        <v>10.4</v>
      </c>
      <c r="F14" s="219"/>
      <c r="G14" s="286"/>
      <c r="H14" s="304"/>
      <c r="I14" s="185"/>
      <c r="J14" s="185"/>
      <c r="K14" s="186"/>
      <c r="L14" s="185"/>
      <c r="M14" s="185"/>
      <c r="N14" s="185"/>
      <c r="O14" s="305"/>
      <c r="P14" s="318"/>
      <c r="Q14" s="191"/>
      <c r="R14" s="191"/>
      <c r="S14" s="191"/>
      <c r="T14" s="191"/>
      <c r="U14" s="232"/>
      <c r="V14" s="191"/>
      <c r="W14" s="192">
        <v>10.4</v>
      </c>
      <c r="X14" s="191"/>
      <c r="Y14" s="191"/>
      <c r="Z14" s="191"/>
      <c r="AA14" s="319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170" customFormat="1" ht="12" customHeight="1" x14ac:dyDescent="0.25">
      <c r="A15" s="273">
        <v>44566</v>
      </c>
      <c r="B15" s="231" t="s">
        <v>139</v>
      </c>
      <c r="C15" s="274" t="s">
        <v>145</v>
      </c>
      <c r="D15" s="285">
        <f>39.95</f>
        <v>39.950000000000003</v>
      </c>
      <c r="E15" s="218"/>
      <c r="F15" s="219"/>
      <c r="G15" s="286"/>
      <c r="H15" s="304"/>
      <c r="I15" s="185"/>
      <c r="J15" s="185"/>
      <c r="K15" s="186"/>
      <c r="L15" s="185"/>
      <c r="M15" s="185">
        <v>39.950000000000003</v>
      </c>
      <c r="N15" s="185"/>
      <c r="O15" s="305"/>
      <c r="P15" s="318"/>
      <c r="Q15" s="191"/>
      <c r="R15" s="191"/>
      <c r="S15" s="191"/>
      <c r="T15" s="191"/>
      <c r="U15" s="232"/>
      <c r="V15" s="191"/>
      <c r="W15" s="192"/>
      <c r="X15" s="191"/>
      <c r="Y15" s="191"/>
      <c r="Z15" s="191"/>
      <c r="AA15" s="319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170" customFormat="1" ht="12" customHeight="1" x14ac:dyDescent="0.25">
      <c r="A16" s="273">
        <v>44566</v>
      </c>
      <c r="B16" s="231" t="s">
        <v>141</v>
      </c>
      <c r="C16" s="274" t="s">
        <v>145</v>
      </c>
      <c r="D16" s="285">
        <v>50</v>
      </c>
      <c r="E16" s="218"/>
      <c r="F16" s="219"/>
      <c r="G16" s="286"/>
      <c r="H16" s="304"/>
      <c r="I16" s="185">
        <v>50</v>
      </c>
      <c r="J16" s="185"/>
      <c r="K16" s="186"/>
      <c r="L16" s="185"/>
      <c r="M16" s="185"/>
      <c r="N16" s="185"/>
      <c r="O16" s="305"/>
      <c r="P16" s="318"/>
      <c r="Q16" s="191"/>
      <c r="R16" s="191"/>
      <c r="S16" s="191"/>
      <c r="T16" s="191"/>
      <c r="U16" s="232"/>
      <c r="V16" s="191"/>
      <c r="W16" s="192"/>
      <c r="X16" s="191"/>
      <c r="Y16" s="191"/>
      <c r="Z16" s="191"/>
      <c r="AA16" s="319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170" customFormat="1" ht="12" customHeight="1" x14ac:dyDescent="0.25">
      <c r="A17" s="273">
        <v>44566</v>
      </c>
      <c r="B17" s="231" t="s">
        <v>142</v>
      </c>
      <c r="C17" s="274" t="s">
        <v>145</v>
      </c>
      <c r="D17" s="285">
        <v>23.26</v>
      </c>
      <c r="E17" s="218"/>
      <c r="F17" s="219"/>
      <c r="G17" s="286"/>
      <c r="H17" s="304"/>
      <c r="I17" s="185">
        <v>23.26</v>
      </c>
      <c r="J17" s="185"/>
      <c r="K17" s="186"/>
      <c r="L17" s="185"/>
      <c r="M17" s="185"/>
      <c r="N17" s="185"/>
      <c r="O17" s="305"/>
      <c r="P17" s="318"/>
      <c r="Q17" s="191"/>
      <c r="R17" s="191"/>
      <c r="S17" s="191"/>
      <c r="T17" s="191"/>
      <c r="U17" s="232"/>
      <c r="V17" s="191"/>
      <c r="W17" s="192"/>
      <c r="X17" s="191"/>
      <c r="Y17" s="191"/>
      <c r="Z17" s="191"/>
      <c r="AA17" s="319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170" customFormat="1" ht="12" customHeight="1" x14ac:dyDescent="0.25">
      <c r="A18" s="273">
        <v>44567</v>
      </c>
      <c r="B18" s="231" t="s">
        <v>146</v>
      </c>
      <c r="C18" s="274" t="s">
        <v>145</v>
      </c>
      <c r="D18" s="285"/>
      <c r="E18" s="218">
        <v>29.99</v>
      </c>
      <c r="F18" s="219"/>
      <c r="G18" s="286"/>
      <c r="H18" s="304"/>
      <c r="I18" s="185"/>
      <c r="J18" s="185"/>
      <c r="K18" s="186"/>
      <c r="L18" s="185"/>
      <c r="M18" s="185"/>
      <c r="N18" s="185"/>
      <c r="O18" s="305"/>
      <c r="P18" s="318"/>
      <c r="Q18" s="191"/>
      <c r="R18" s="191"/>
      <c r="S18" s="191"/>
      <c r="T18" s="191"/>
      <c r="U18" s="232"/>
      <c r="V18" s="191">
        <v>29.99</v>
      </c>
      <c r="W18" s="192"/>
      <c r="X18" s="191"/>
      <c r="Y18" s="191"/>
      <c r="Z18" s="191"/>
      <c r="AA18" s="319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170" customFormat="1" ht="12" customHeight="1" x14ac:dyDescent="0.25">
      <c r="A19" s="273">
        <v>44567</v>
      </c>
      <c r="B19" s="231" t="s">
        <v>147</v>
      </c>
      <c r="C19" s="274" t="s">
        <v>145</v>
      </c>
      <c r="D19" s="285"/>
      <c r="E19" s="218">
        <v>354.49</v>
      </c>
      <c r="F19" s="219"/>
      <c r="G19" s="286"/>
      <c r="H19" s="304"/>
      <c r="I19" s="185"/>
      <c r="J19" s="185"/>
      <c r="K19" s="186"/>
      <c r="L19" s="185"/>
      <c r="M19" s="185"/>
      <c r="N19" s="185"/>
      <c r="O19" s="305"/>
      <c r="P19" s="318"/>
      <c r="Q19" s="191"/>
      <c r="R19" s="191"/>
      <c r="S19" s="191"/>
      <c r="T19" s="191">
        <v>354.49</v>
      </c>
      <c r="U19" s="232"/>
      <c r="V19" s="191"/>
      <c r="W19" s="192"/>
      <c r="X19" s="191"/>
      <c r="Y19" s="191"/>
      <c r="Z19" s="191"/>
      <c r="AA19" s="319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170" customFormat="1" ht="12" customHeight="1" x14ac:dyDescent="0.25">
      <c r="A20" s="273">
        <v>44568</v>
      </c>
      <c r="B20" s="231" t="s">
        <v>151</v>
      </c>
      <c r="C20" s="274" t="s">
        <v>145</v>
      </c>
      <c r="D20" s="285"/>
      <c r="E20" s="218"/>
      <c r="F20" s="219"/>
      <c r="G20" s="286">
        <v>133.74</v>
      </c>
      <c r="H20" s="304"/>
      <c r="I20" s="185"/>
      <c r="J20" s="185"/>
      <c r="K20" s="186"/>
      <c r="L20" s="185"/>
      <c r="M20" s="185"/>
      <c r="N20" s="185"/>
      <c r="O20" s="305"/>
      <c r="P20" s="318"/>
      <c r="Q20" s="191">
        <v>133.74</v>
      </c>
      <c r="R20" s="191"/>
      <c r="S20" s="191"/>
      <c r="T20" s="191"/>
      <c r="U20" s="232"/>
      <c r="V20" s="191"/>
      <c r="W20" s="192"/>
      <c r="X20" s="191"/>
      <c r="Y20" s="191"/>
      <c r="Z20" s="191"/>
      <c r="AA20" s="319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170" customFormat="1" ht="12" customHeight="1" x14ac:dyDescent="0.25">
      <c r="A21" s="273">
        <v>44568</v>
      </c>
      <c r="B21" s="231" t="s">
        <v>152</v>
      </c>
      <c r="C21" s="274" t="s">
        <v>145</v>
      </c>
      <c r="D21" s="285"/>
      <c r="E21" s="218"/>
      <c r="F21" s="219"/>
      <c r="G21" s="286">
        <v>7.09</v>
      </c>
      <c r="H21" s="304"/>
      <c r="I21" s="185"/>
      <c r="J21" s="185"/>
      <c r="K21" s="186"/>
      <c r="L21" s="185"/>
      <c r="M21" s="185"/>
      <c r="N21" s="185"/>
      <c r="O21" s="305"/>
      <c r="P21" s="318"/>
      <c r="Q21" s="191"/>
      <c r="R21" s="191"/>
      <c r="S21" s="191">
        <v>7.09</v>
      </c>
      <c r="T21" s="191"/>
      <c r="U21" s="232"/>
      <c r="V21" s="191"/>
      <c r="W21" s="192"/>
      <c r="X21" s="191"/>
      <c r="Y21" s="191"/>
      <c r="Z21" s="191"/>
      <c r="AA21" s="319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170" customFormat="1" ht="12" customHeight="1" x14ac:dyDescent="0.25">
      <c r="A22" s="273">
        <v>44568</v>
      </c>
      <c r="B22" s="231" t="s">
        <v>152</v>
      </c>
      <c r="C22" s="274" t="s">
        <v>145</v>
      </c>
      <c r="D22" s="285"/>
      <c r="E22" s="218"/>
      <c r="F22" s="219"/>
      <c r="G22" s="286">
        <v>3</v>
      </c>
      <c r="H22" s="304"/>
      <c r="I22" s="185"/>
      <c r="J22" s="185"/>
      <c r="K22" s="186"/>
      <c r="L22" s="185"/>
      <c r="M22" s="185"/>
      <c r="N22" s="185"/>
      <c r="O22" s="305"/>
      <c r="P22" s="318"/>
      <c r="Q22" s="191"/>
      <c r="R22" s="191"/>
      <c r="S22" s="191">
        <v>3</v>
      </c>
      <c r="T22" s="191"/>
      <c r="U22" s="232"/>
      <c r="V22" s="191"/>
      <c r="W22" s="192"/>
      <c r="X22" s="191"/>
      <c r="Y22" s="191"/>
      <c r="Z22" s="191"/>
      <c r="AA22" s="319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170" customFormat="1" ht="12" customHeight="1" x14ac:dyDescent="0.25">
      <c r="A23" s="273">
        <v>7</v>
      </c>
      <c r="B23" s="380" t="s">
        <v>153</v>
      </c>
      <c r="C23" s="274" t="s">
        <v>154</v>
      </c>
      <c r="D23" s="285"/>
      <c r="E23" s="218"/>
      <c r="F23" s="219">
        <v>32.5</v>
      </c>
      <c r="G23" s="286"/>
      <c r="H23" s="304"/>
      <c r="I23" s="185"/>
      <c r="J23" s="185"/>
      <c r="K23" s="186">
        <v>32.5</v>
      </c>
      <c r="L23" s="185"/>
      <c r="M23" s="185"/>
      <c r="N23" s="185"/>
      <c r="O23" s="305"/>
      <c r="P23" s="318"/>
      <c r="Q23" s="191"/>
      <c r="R23" s="191"/>
      <c r="S23" s="191"/>
      <c r="T23" s="191"/>
      <c r="U23" s="232"/>
      <c r="V23" s="191"/>
      <c r="W23" s="192"/>
      <c r="X23" s="191"/>
      <c r="Y23" s="191"/>
      <c r="Z23" s="191"/>
      <c r="AA23" s="319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170" customFormat="1" ht="12" customHeight="1" x14ac:dyDescent="0.25">
      <c r="A24" s="273">
        <v>44568</v>
      </c>
      <c r="B24" s="380" t="s">
        <v>155</v>
      </c>
      <c r="C24" s="274" t="s">
        <v>154</v>
      </c>
      <c r="D24" s="285">
        <v>30</v>
      </c>
      <c r="E24" s="218"/>
      <c r="F24" s="219"/>
      <c r="G24" s="286"/>
      <c r="H24" s="304"/>
      <c r="I24" s="185"/>
      <c r="J24" s="185"/>
      <c r="K24" s="186">
        <v>30</v>
      </c>
      <c r="L24" s="185"/>
      <c r="M24" s="185"/>
      <c r="N24" s="185"/>
      <c r="O24" s="305"/>
      <c r="P24" s="318"/>
      <c r="Q24" s="191"/>
      <c r="R24" s="191"/>
      <c r="S24" s="191"/>
      <c r="T24" s="191"/>
      <c r="U24" s="232"/>
      <c r="V24" s="191"/>
      <c r="W24" s="192"/>
      <c r="X24" s="191"/>
      <c r="Y24" s="191"/>
      <c r="Z24" s="191"/>
      <c r="AA24" s="319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170" customFormat="1" ht="12" customHeight="1" x14ac:dyDescent="0.25">
      <c r="A25" s="273">
        <v>44568</v>
      </c>
      <c r="B25" s="380" t="s">
        <v>156</v>
      </c>
      <c r="C25" s="274" t="s">
        <v>154</v>
      </c>
      <c r="D25" s="285"/>
      <c r="E25" s="218"/>
      <c r="F25" s="219">
        <v>1</v>
      </c>
      <c r="G25" s="286"/>
      <c r="H25" s="304"/>
      <c r="I25" s="185"/>
      <c r="J25" s="185"/>
      <c r="K25" s="186">
        <v>1</v>
      </c>
      <c r="L25" s="185"/>
      <c r="M25" s="185"/>
      <c r="N25" s="185"/>
      <c r="O25" s="305"/>
      <c r="P25" s="318"/>
      <c r="Q25" s="191"/>
      <c r="R25" s="191"/>
      <c r="S25" s="191"/>
      <c r="T25" s="191"/>
      <c r="U25" s="232"/>
      <c r="V25" s="191"/>
      <c r="W25" s="192"/>
      <c r="X25" s="191"/>
      <c r="Y25" s="191"/>
      <c r="Z25" s="191"/>
      <c r="AA25" s="319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170" customFormat="1" ht="12" customHeight="1" x14ac:dyDescent="0.25">
      <c r="A26" s="273">
        <v>44568</v>
      </c>
      <c r="B26" s="380" t="s">
        <v>157</v>
      </c>
      <c r="C26" s="274" t="s">
        <v>154</v>
      </c>
      <c r="D26" s="285"/>
      <c r="E26" s="218"/>
      <c r="F26" s="219">
        <v>12</v>
      </c>
      <c r="G26" s="286"/>
      <c r="H26" s="304"/>
      <c r="I26" s="185"/>
      <c r="J26" s="185"/>
      <c r="K26" s="186">
        <v>12</v>
      </c>
      <c r="L26" s="185"/>
      <c r="M26" s="185"/>
      <c r="N26" s="185"/>
      <c r="O26" s="305"/>
      <c r="P26" s="318"/>
      <c r="Q26" s="191"/>
      <c r="R26" s="191"/>
      <c r="S26" s="191"/>
      <c r="T26" s="191"/>
      <c r="U26" s="232"/>
      <c r="V26" s="191"/>
      <c r="W26" s="192"/>
      <c r="X26" s="191"/>
      <c r="Y26" s="191"/>
      <c r="Z26" s="191"/>
      <c r="AA26" s="319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170" customFormat="1" ht="12" customHeight="1" x14ac:dyDescent="0.25">
      <c r="A27" s="273">
        <v>44568</v>
      </c>
      <c r="B27" s="380" t="s">
        <v>158</v>
      </c>
      <c r="C27" s="274" t="s">
        <v>154</v>
      </c>
      <c r="D27" s="285">
        <v>97</v>
      </c>
      <c r="E27" s="218"/>
      <c r="F27" s="219"/>
      <c r="G27" s="286"/>
      <c r="H27" s="304"/>
      <c r="I27" s="185"/>
      <c r="J27" s="185"/>
      <c r="K27" s="186">
        <v>97</v>
      </c>
      <c r="L27" s="185"/>
      <c r="M27" s="185"/>
      <c r="N27" s="185"/>
      <c r="O27" s="305"/>
      <c r="P27" s="318"/>
      <c r="Q27" s="191"/>
      <c r="R27" s="191"/>
      <c r="S27" s="191"/>
      <c r="T27" s="191"/>
      <c r="U27" s="232"/>
      <c r="V27" s="191"/>
      <c r="W27" s="192"/>
      <c r="X27" s="191"/>
      <c r="Y27" s="191"/>
      <c r="Z27" s="191"/>
      <c r="AA27" s="319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170" customFormat="1" ht="12" customHeight="1" x14ac:dyDescent="0.25">
      <c r="A28" s="273">
        <v>44568</v>
      </c>
      <c r="B28" s="380" t="s">
        <v>159</v>
      </c>
      <c r="C28" s="274" t="s">
        <v>154</v>
      </c>
      <c r="D28" s="285"/>
      <c r="E28" s="218"/>
      <c r="F28" s="219">
        <v>2</v>
      </c>
      <c r="G28" s="286"/>
      <c r="H28" s="304"/>
      <c r="I28" s="185"/>
      <c r="J28" s="185"/>
      <c r="K28" s="186">
        <v>2</v>
      </c>
      <c r="L28" s="185"/>
      <c r="M28" s="185"/>
      <c r="N28" s="185"/>
      <c r="O28" s="305"/>
      <c r="P28" s="318"/>
      <c r="Q28" s="191"/>
      <c r="R28" s="191"/>
      <c r="S28" s="191"/>
      <c r="T28" s="191"/>
      <c r="U28" s="232"/>
      <c r="V28" s="191"/>
      <c r="W28" s="192"/>
      <c r="X28" s="191"/>
      <c r="Y28" s="191"/>
      <c r="Z28" s="191"/>
      <c r="AA28" s="319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170" customFormat="1" ht="12" customHeight="1" x14ac:dyDescent="0.25">
      <c r="A29" s="273">
        <v>44568</v>
      </c>
      <c r="B29" s="380" t="s">
        <v>160</v>
      </c>
      <c r="C29" s="274" t="s">
        <v>154</v>
      </c>
      <c r="D29" s="285"/>
      <c r="E29" s="218"/>
      <c r="F29" s="219">
        <v>66</v>
      </c>
      <c r="G29" s="286"/>
      <c r="H29" s="304"/>
      <c r="I29" s="185"/>
      <c r="J29" s="185"/>
      <c r="K29" s="186">
        <v>66</v>
      </c>
      <c r="L29" s="185"/>
      <c r="M29" s="185"/>
      <c r="N29" s="185"/>
      <c r="O29" s="305"/>
      <c r="P29" s="318"/>
      <c r="Q29" s="191"/>
      <c r="R29" s="191"/>
      <c r="S29" s="191"/>
      <c r="T29" s="191"/>
      <c r="U29" s="232"/>
      <c r="V29" s="191"/>
      <c r="W29" s="192"/>
      <c r="X29" s="191"/>
      <c r="Y29" s="191"/>
      <c r="Z29" s="191"/>
      <c r="AA29" s="319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170" customFormat="1" ht="12" customHeight="1" x14ac:dyDescent="0.25">
      <c r="A30" s="273">
        <v>44568</v>
      </c>
      <c r="B30" s="380" t="s">
        <v>161</v>
      </c>
      <c r="C30" s="274" t="s">
        <v>154</v>
      </c>
      <c r="D30" s="285"/>
      <c r="E30" s="218"/>
      <c r="F30" s="219">
        <v>10</v>
      </c>
      <c r="G30" s="286"/>
      <c r="H30" s="304"/>
      <c r="I30" s="185"/>
      <c r="J30" s="185"/>
      <c r="K30" s="186">
        <v>10</v>
      </c>
      <c r="L30" s="185"/>
      <c r="M30" s="185"/>
      <c r="N30" s="185"/>
      <c r="O30" s="305"/>
      <c r="P30" s="318"/>
      <c r="Q30" s="191"/>
      <c r="R30" s="191"/>
      <c r="S30" s="191"/>
      <c r="T30" s="191"/>
      <c r="U30" s="232"/>
      <c r="V30" s="191"/>
      <c r="W30" s="192"/>
      <c r="X30" s="191"/>
      <c r="Y30" s="191"/>
      <c r="Z30" s="191"/>
      <c r="AA30" s="319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170" customFormat="1" ht="12" customHeight="1" x14ac:dyDescent="0.25">
      <c r="A31" s="273">
        <v>44568</v>
      </c>
      <c r="B31" s="380" t="s">
        <v>162</v>
      </c>
      <c r="C31" s="274" t="s">
        <v>154</v>
      </c>
      <c r="D31" s="285"/>
      <c r="E31" s="218"/>
      <c r="F31" s="219">
        <v>2</v>
      </c>
      <c r="G31" s="286"/>
      <c r="H31" s="304"/>
      <c r="I31" s="185"/>
      <c r="J31" s="185"/>
      <c r="K31" s="186">
        <v>2</v>
      </c>
      <c r="L31" s="185"/>
      <c r="M31" s="185"/>
      <c r="N31" s="185"/>
      <c r="O31" s="305"/>
      <c r="P31" s="318"/>
      <c r="Q31" s="191"/>
      <c r="R31" s="191"/>
      <c r="S31" s="191"/>
      <c r="T31" s="191"/>
      <c r="U31" s="232"/>
      <c r="V31" s="191"/>
      <c r="W31" s="192"/>
      <c r="X31" s="191"/>
      <c r="Y31" s="191"/>
      <c r="Z31" s="191"/>
      <c r="AA31" s="319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170" customFormat="1" ht="12" customHeight="1" x14ac:dyDescent="0.25">
      <c r="A32" s="273">
        <v>44568</v>
      </c>
      <c r="B32" s="380" t="s">
        <v>163</v>
      </c>
      <c r="C32" s="274" t="s">
        <v>154</v>
      </c>
      <c r="D32" s="285"/>
      <c r="E32" s="218"/>
      <c r="F32" s="219">
        <v>3.6</v>
      </c>
      <c r="G32" s="286"/>
      <c r="H32" s="304"/>
      <c r="I32" s="185"/>
      <c r="J32" s="185"/>
      <c r="K32" s="186">
        <v>3.6</v>
      </c>
      <c r="L32" s="185"/>
      <c r="M32" s="185"/>
      <c r="N32" s="185"/>
      <c r="O32" s="305"/>
      <c r="P32" s="318"/>
      <c r="Q32" s="191"/>
      <c r="R32" s="191"/>
      <c r="S32" s="191"/>
      <c r="T32" s="191"/>
      <c r="U32" s="232"/>
      <c r="V32" s="191"/>
      <c r="W32" s="192"/>
      <c r="X32" s="191"/>
      <c r="Y32" s="191"/>
      <c r="Z32" s="191"/>
      <c r="AA32" s="319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170" customFormat="1" ht="12" customHeight="1" x14ac:dyDescent="0.25">
      <c r="A33" s="273">
        <v>44570</v>
      </c>
      <c r="B33" s="380" t="s">
        <v>164</v>
      </c>
      <c r="C33" s="274" t="s">
        <v>154</v>
      </c>
      <c r="D33" s="285"/>
      <c r="E33" s="218"/>
      <c r="F33" s="219">
        <v>1.7</v>
      </c>
      <c r="G33" s="286"/>
      <c r="H33" s="304"/>
      <c r="I33" s="185"/>
      <c r="J33" s="185"/>
      <c r="K33" s="186">
        <v>1.7</v>
      </c>
      <c r="L33" s="185"/>
      <c r="M33" s="185"/>
      <c r="N33" s="185"/>
      <c r="O33" s="305"/>
      <c r="P33" s="318"/>
      <c r="Q33" s="191"/>
      <c r="R33" s="191"/>
      <c r="S33" s="191"/>
      <c r="T33" s="191"/>
      <c r="U33" s="232"/>
      <c r="V33" s="191"/>
      <c r="W33" s="192"/>
      <c r="X33" s="191"/>
      <c r="Y33" s="191"/>
      <c r="Z33" s="191"/>
      <c r="AA33" s="319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170" customFormat="1" ht="12" customHeight="1" x14ac:dyDescent="0.25">
      <c r="A34" s="273">
        <v>44570</v>
      </c>
      <c r="B34" s="380" t="s">
        <v>165</v>
      </c>
      <c r="C34" s="274" t="s">
        <v>154</v>
      </c>
      <c r="D34" s="285"/>
      <c r="E34" s="218"/>
      <c r="F34" s="219">
        <v>20.7</v>
      </c>
      <c r="G34" s="286"/>
      <c r="H34" s="304"/>
      <c r="I34" s="185"/>
      <c r="J34" s="185"/>
      <c r="K34" s="186">
        <v>20.7</v>
      </c>
      <c r="L34" s="185"/>
      <c r="M34" s="185"/>
      <c r="N34" s="185"/>
      <c r="O34" s="305"/>
      <c r="P34" s="318"/>
      <c r="Q34" s="191"/>
      <c r="R34" s="191"/>
      <c r="S34" s="191"/>
      <c r="T34" s="191"/>
      <c r="U34" s="232"/>
      <c r="V34" s="191"/>
      <c r="W34" s="192"/>
      <c r="X34" s="191"/>
      <c r="Y34" s="191"/>
      <c r="Z34" s="191"/>
      <c r="AA34" s="319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170" customFormat="1" ht="12" customHeight="1" x14ac:dyDescent="0.25">
      <c r="A35" s="273">
        <v>44570</v>
      </c>
      <c r="B35" s="380" t="s">
        <v>166</v>
      </c>
      <c r="C35" s="274" t="s">
        <v>154</v>
      </c>
      <c r="D35" s="285">
        <v>58.5</v>
      </c>
      <c r="E35" s="218"/>
      <c r="F35" s="219"/>
      <c r="G35" s="286"/>
      <c r="H35" s="304"/>
      <c r="I35" s="185"/>
      <c r="J35" s="185"/>
      <c r="K35" s="186">
        <v>58.5</v>
      </c>
      <c r="L35" s="185"/>
      <c r="M35" s="185"/>
      <c r="N35" s="185"/>
      <c r="O35" s="305"/>
      <c r="P35" s="318"/>
      <c r="Q35" s="191"/>
      <c r="R35" s="191"/>
      <c r="S35" s="191"/>
      <c r="T35" s="191"/>
      <c r="U35" s="232"/>
      <c r="V35" s="191"/>
      <c r="W35" s="192"/>
      <c r="X35" s="191"/>
      <c r="Y35" s="191"/>
      <c r="Z35" s="191"/>
      <c r="AA35" s="319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170" customFormat="1" ht="12" customHeight="1" x14ac:dyDescent="0.25">
      <c r="A36" s="273">
        <v>44570</v>
      </c>
      <c r="B36" s="380" t="s">
        <v>164</v>
      </c>
      <c r="C36" s="274" t="s">
        <v>154</v>
      </c>
      <c r="D36" s="285">
        <v>54.7</v>
      </c>
      <c r="E36" s="218"/>
      <c r="F36" s="219"/>
      <c r="G36" s="286"/>
      <c r="H36" s="304"/>
      <c r="I36" s="185"/>
      <c r="J36" s="185"/>
      <c r="K36" s="186">
        <v>54.7</v>
      </c>
      <c r="L36" s="185"/>
      <c r="M36" s="185"/>
      <c r="N36" s="185"/>
      <c r="O36" s="305"/>
      <c r="P36" s="318"/>
      <c r="Q36" s="191"/>
      <c r="R36" s="191"/>
      <c r="S36" s="191"/>
      <c r="T36" s="191"/>
      <c r="U36" s="232"/>
      <c r="V36" s="191"/>
      <c r="W36" s="192"/>
      <c r="X36" s="191"/>
      <c r="Y36" s="191"/>
      <c r="Z36" s="191"/>
      <c r="AA36" s="319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170" customFormat="1" ht="12" customHeight="1" x14ac:dyDescent="0.25">
      <c r="A37" s="273">
        <v>44570</v>
      </c>
      <c r="B37" s="380" t="s">
        <v>167</v>
      </c>
      <c r="C37" s="274" t="s">
        <v>154</v>
      </c>
      <c r="D37" s="285"/>
      <c r="E37" s="218"/>
      <c r="F37" s="219">
        <v>2</v>
      </c>
      <c r="G37" s="286"/>
      <c r="H37" s="304"/>
      <c r="I37" s="185"/>
      <c r="J37" s="185"/>
      <c r="K37" s="186">
        <v>2</v>
      </c>
      <c r="L37" s="185"/>
      <c r="M37" s="185"/>
      <c r="N37" s="185"/>
      <c r="O37" s="305"/>
      <c r="P37" s="318"/>
      <c r="Q37" s="191"/>
      <c r="R37" s="191"/>
      <c r="S37" s="191"/>
      <c r="T37" s="191"/>
      <c r="U37" s="232"/>
      <c r="V37" s="191"/>
      <c r="W37" s="192"/>
      <c r="X37" s="191"/>
      <c r="Y37" s="191"/>
      <c r="Z37" s="191"/>
      <c r="AA37" s="319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170" customFormat="1" ht="12" customHeight="1" x14ac:dyDescent="0.25">
      <c r="A38" s="273">
        <v>44570</v>
      </c>
      <c r="B38" s="380" t="s">
        <v>164</v>
      </c>
      <c r="C38" s="274" t="s">
        <v>154</v>
      </c>
      <c r="D38" s="285"/>
      <c r="E38" s="218"/>
      <c r="F38" s="219">
        <v>3.1</v>
      </c>
      <c r="G38" s="286"/>
      <c r="H38" s="304"/>
      <c r="I38" s="185"/>
      <c r="J38" s="185"/>
      <c r="K38" s="186">
        <v>3.1</v>
      </c>
      <c r="L38" s="185"/>
      <c r="M38" s="185"/>
      <c r="N38" s="185"/>
      <c r="O38" s="305"/>
      <c r="P38" s="318"/>
      <c r="Q38" s="191"/>
      <c r="R38" s="191"/>
      <c r="S38" s="191"/>
      <c r="T38" s="191"/>
      <c r="U38" s="232"/>
      <c r="V38" s="191"/>
      <c r="W38" s="192"/>
      <c r="X38" s="191"/>
      <c r="Y38" s="191"/>
      <c r="Z38" s="191"/>
      <c r="AA38" s="319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170" customFormat="1" ht="12" customHeight="1" x14ac:dyDescent="0.25">
      <c r="A39" s="273">
        <v>44570</v>
      </c>
      <c r="B39" s="380" t="s">
        <v>168</v>
      </c>
      <c r="C39" s="274" t="s">
        <v>154</v>
      </c>
      <c r="D39" s="285">
        <v>129</v>
      </c>
      <c r="E39" s="218"/>
      <c r="F39" s="219"/>
      <c r="G39" s="286"/>
      <c r="H39" s="304"/>
      <c r="I39" s="185"/>
      <c r="J39" s="185"/>
      <c r="K39" s="186">
        <v>129</v>
      </c>
      <c r="L39" s="185"/>
      <c r="M39" s="185"/>
      <c r="N39" s="185"/>
      <c r="O39" s="305"/>
      <c r="P39" s="318"/>
      <c r="Q39" s="191"/>
      <c r="R39" s="191"/>
      <c r="S39" s="191"/>
      <c r="T39" s="191"/>
      <c r="U39" s="232"/>
      <c r="V39" s="191"/>
      <c r="W39" s="192"/>
      <c r="X39" s="191"/>
      <c r="Y39" s="191"/>
      <c r="Z39" s="191"/>
      <c r="AA39" s="319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170" customFormat="1" ht="12" customHeight="1" x14ac:dyDescent="0.25">
      <c r="A40" s="273">
        <v>44570</v>
      </c>
      <c r="B40" s="380" t="s">
        <v>168</v>
      </c>
      <c r="C40" s="274" t="s">
        <v>154</v>
      </c>
      <c r="D40" s="285"/>
      <c r="E40" s="218"/>
      <c r="F40" s="219">
        <v>1</v>
      </c>
      <c r="G40" s="286"/>
      <c r="H40" s="304"/>
      <c r="I40" s="185"/>
      <c r="J40" s="185"/>
      <c r="K40" s="186">
        <v>1</v>
      </c>
      <c r="L40" s="185"/>
      <c r="M40" s="185"/>
      <c r="N40" s="185"/>
      <c r="O40" s="305"/>
      <c r="P40" s="318"/>
      <c r="Q40" s="191"/>
      <c r="R40" s="191"/>
      <c r="S40" s="191"/>
      <c r="T40" s="191"/>
      <c r="U40" s="232"/>
      <c r="V40" s="191"/>
      <c r="W40" s="192"/>
      <c r="X40" s="191"/>
      <c r="Y40" s="191"/>
      <c r="Z40" s="191"/>
      <c r="AA40" s="319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170" customFormat="1" ht="12" customHeight="1" x14ac:dyDescent="0.25">
      <c r="A41" s="273">
        <v>44571</v>
      </c>
      <c r="B41" s="231" t="s">
        <v>127</v>
      </c>
      <c r="C41" s="274" t="s">
        <v>154</v>
      </c>
      <c r="D41" s="285"/>
      <c r="E41" s="218">
        <f>1440.45</f>
        <v>1440.45</v>
      </c>
      <c r="F41" s="219"/>
      <c r="G41" s="286"/>
      <c r="H41" s="304"/>
      <c r="I41" s="185"/>
      <c r="J41" s="185"/>
      <c r="K41" s="186"/>
      <c r="L41" s="185"/>
      <c r="M41" s="185"/>
      <c r="N41" s="185"/>
      <c r="O41" s="305"/>
      <c r="P41" s="318"/>
      <c r="Q41" s="191"/>
      <c r="R41" s="191"/>
      <c r="S41" s="191"/>
      <c r="T41" s="191"/>
      <c r="U41" s="232">
        <v>1440.45</v>
      </c>
      <c r="V41" s="191"/>
      <c r="W41" s="192"/>
      <c r="X41" s="191"/>
      <c r="Y41" s="191"/>
      <c r="Z41" s="191"/>
      <c r="AA41" s="319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44571</v>
      </c>
      <c r="B42" s="231" t="s">
        <v>170</v>
      </c>
      <c r="C42" s="274" t="s">
        <v>154</v>
      </c>
      <c r="D42" s="285">
        <v>60</v>
      </c>
      <c r="E42" s="218"/>
      <c r="F42" s="219"/>
      <c r="G42" s="286"/>
      <c r="H42" s="304"/>
      <c r="I42" s="185">
        <v>60</v>
      </c>
      <c r="J42" s="185"/>
      <c r="K42" s="186"/>
      <c r="L42" s="185"/>
      <c r="M42" s="185"/>
      <c r="N42" s="185"/>
      <c r="O42" s="305"/>
      <c r="P42" s="318"/>
      <c r="Q42" s="191"/>
      <c r="R42" s="191"/>
      <c r="S42" s="191"/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170" customFormat="1" ht="12" customHeight="1" x14ac:dyDescent="0.25">
      <c r="A43" s="273">
        <v>44574</v>
      </c>
      <c r="B43" s="231" t="s">
        <v>171</v>
      </c>
      <c r="C43" s="274" t="s">
        <v>154</v>
      </c>
      <c r="D43" s="285">
        <v>100.8</v>
      </c>
      <c r="E43" s="218"/>
      <c r="F43" s="219"/>
      <c r="G43" s="286"/>
      <c r="H43" s="304"/>
      <c r="I43" s="185">
        <v>100.8</v>
      </c>
      <c r="J43" s="185"/>
      <c r="K43" s="186"/>
      <c r="L43" s="185"/>
      <c r="M43" s="185"/>
      <c r="N43" s="185"/>
      <c r="O43" s="305"/>
      <c r="P43" s="318"/>
      <c r="Q43" s="191"/>
      <c r="R43" s="191"/>
      <c r="S43" s="191"/>
      <c r="T43" s="191"/>
      <c r="U43" s="232"/>
      <c r="V43" s="191"/>
      <c r="W43" s="192"/>
      <c r="X43" s="191"/>
      <c r="Y43" s="191"/>
      <c r="Z43" s="191"/>
      <c r="AA43" s="319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170" customFormat="1" ht="12" customHeight="1" x14ac:dyDescent="0.25">
      <c r="A44" s="273">
        <v>44574</v>
      </c>
      <c r="B44" s="382" t="s">
        <v>178</v>
      </c>
      <c r="C44" s="274" t="s">
        <v>154</v>
      </c>
      <c r="D44" s="285"/>
      <c r="E44" s="218">
        <v>10.32</v>
      </c>
      <c r="F44" s="219"/>
      <c r="G44" s="286"/>
      <c r="H44" s="304"/>
      <c r="I44" s="185"/>
      <c r="J44" s="185"/>
      <c r="K44" s="186"/>
      <c r="L44" s="185"/>
      <c r="M44" s="185"/>
      <c r="N44" s="185"/>
      <c r="O44" s="305"/>
      <c r="P44" s="318"/>
      <c r="Q44" s="191"/>
      <c r="R44" s="191"/>
      <c r="S44" s="191"/>
      <c r="T44" s="191">
        <v>10.32</v>
      </c>
      <c r="U44" s="232"/>
      <c r="V44" s="191"/>
      <c r="W44" s="192"/>
      <c r="X44" s="191"/>
      <c r="Y44" s="191"/>
      <c r="Z44" s="191"/>
      <c r="AA44" s="319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170" customFormat="1" ht="12" customHeight="1" x14ac:dyDescent="0.25">
      <c r="A45" s="273">
        <v>44577</v>
      </c>
      <c r="B45" s="380" t="s">
        <v>172</v>
      </c>
      <c r="C45" s="274" t="s">
        <v>154</v>
      </c>
      <c r="D45" s="285">
        <v>45</v>
      </c>
      <c r="E45" s="218"/>
      <c r="F45" s="219"/>
      <c r="G45" s="286"/>
      <c r="H45" s="304"/>
      <c r="I45" s="185"/>
      <c r="J45" s="185"/>
      <c r="K45" s="186">
        <v>45</v>
      </c>
      <c r="L45" s="185"/>
      <c r="M45" s="185"/>
      <c r="N45" s="185"/>
      <c r="O45" s="305"/>
      <c r="P45" s="318"/>
      <c r="Q45" s="191"/>
      <c r="R45" s="191"/>
      <c r="S45" s="191"/>
      <c r="T45" s="191"/>
      <c r="U45" s="232"/>
      <c r="V45" s="191"/>
      <c r="W45" s="192"/>
      <c r="X45" s="191"/>
      <c r="Y45" s="191"/>
      <c r="Z45" s="191"/>
      <c r="AA45" s="319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170" customFormat="1" ht="12" customHeight="1" x14ac:dyDescent="0.25">
      <c r="A46" s="273">
        <v>44577</v>
      </c>
      <c r="B46" s="380" t="s">
        <v>175</v>
      </c>
      <c r="C46" s="274" t="s">
        <v>154</v>
      </c>
      <c r="D46" s="285"/>
      <c r="E46" s="218"/>
      <c r="F46" s="219">
        <v>13.5</v>
      </c>
      <c r="G46" s="286"/>
      <c r="H46" s="304"/>
      <c r="I46" s="185"/>
      <c r="J46" s="185"/>
      <c r="K46" s="186">
        <v>13.5</v>
      </c>
      <c r="L46" s="185"/>
      <c r="M46" s="185"/>
      <c r="N46" s="185"/>
      <c r="O46" s="305"/>
      <c r="P46" s="318"/>
      <c r="Q46" s="191"/>
      <c r="R46" s="191"/>
      <c r="S46" s="191"/>
      <c r="T46" s="191"/>
      <c r="U46" s="232"/>
      <c r="V46" s="191"/>
      <c r="W46" s="192"/>
      <c r="X46" s="191"/>
      <c r="Y46" s="191"/>
      <c r="Z46" s="191"/>
      <c r="AA46" s="319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170" customFormat="1" ht="12" customHeight="1" x14ac:dyDescent="0.25">
      <c r="A47" s="273">
        <v>44577</v>
      </c>
      <c r="B47" s="380" t="s">
        <v>174</v>
      </c>
      <c r="C47" s="274" t="s">
        <v>154</v>
      </c>
      <c r="D47" s="285"/>
      <c r="E47" s="218"/>
      <c r="F47" s="219">
        <v>41.5</v>
      </c>
      <c r="G47" s="286"/>
      <c r="H47" s="304"/>
      <c r="I47" s="185"/>
      <c r="J47" s="185"/>
      <c r="K47" s="186">
        <v>41.5</v>
      </c>
      <c r="L47" s="185"/>
      <c r="M47" s="185"/>
      <c r="N47" s="185"/>
      <c r="O47" s="305"/>
      <c r="P47" s="318"/>
      <c r="Q47" s="191"/>
      <c r="R47" s="191"/>
      <c r="S47" s="191"/>
      <c r="T47" s="191"/>
      <c r="U47" s="232"/>
      <c r="V47" s="191"/>
      <c r="W47" s="192"/>
      <c r="X47" s="191"/>
      <c r="Y47" s="191"/>
      <c r="Z47" s="191"/>
      <c r="AA47" s="319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170" customFormat="1" ht="12" customHeight="1" x14ac:dyDescent="0.25">
      <c r="A48" s="273">
        <v>44577</v>
      </c>
      <c r="B48" s="380" t="s">
        <v>173</v>
      </c>
      <c r="C48" s="274" t="s">
        <v>154</v>
      </c>
      <c r="D48" s="285"/>
      <c r="E48" s="218"/>
      <c r="F48" s="219">
        <v>73</v>
      </c>
      <c r="G48" s="286"/>
      <c r="H48" s="304"/>
      <c r="I48" s="185"/>
      <c r="J48" s="185"/>
      <c r="K48" s="186">
        <v>73</v>
      </c>
      <c r="L48" s="185"/>
      <c r="M48" s="185"/>
      <c r="N48" s="185"/>
      <c r="O48" s="305"/>
      <c r="P48" s="318"/>
      <c r="Q48" s="191"/>
      <c r="R48" s="191"/>
      <c r="S48" s="191"/>
      <c r="T48" s="191"/>
      <c r="U48" s="232"/>
      <c r="V48" s="191"/>
      <c r="W48" s="192"/>
      <c r="X48" s="191"/>
      <c r="Y48" s="191"/>
      <c r="Z48" s="191"/>
      <c r="AA48" s="319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170" customFormat="1" ht="12" customHeight="1" x14ac:dyDescent="0.25">
      <c r="A49" s="273">
        <v>44577</v>
      </c>
      <c r="B49" s="380" t="s">
        <v>176</v>
      </c>
      <c r="C49" s="274" t="s">
        <v>154</v>
      </c>
      <c r="D49" s="285"/>
      <c r="E49" s="218"/>
      <c r="F49" s="219">
        <v>24</v>
      </c>
      <c r="G49" s="286"/>
      <c r="H49" s="304"/>
      <c r="I49" s="185"/>
      <c r="J49" s="185"/>
      <c r="K49" s="186">
        <v>24</v>
      </c>
      <c r="L49" s="185"/>
      <c r="M49" s="185"/>
      <c r="N49" s="185"/>
      <c r="O49" s="305"/>
      <c r="P49" s="318"/>
      <c r="Q49" s="191"/>
      <c r="R49" s="191"/>
      <c r="S49" s="191"/>
      <c r="T49" s="191"/>
      <c r="U49" s="232"/>
      <c r="V49" s="191"/>
      <c r="W49" s="192"/>
      <c r="X49" s="191"/>
      <c r="Y49" s="191"/>
      <c r="Z49" s="191"/>
      <c r="AA49" s="319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44577</v>
      </c>
      <c r="B50" s="231" t="s">
        <v>177</v>
      </c>
      <c r="C50" s="274" t="s">
        <v>154</v>
      </c>
      <c r="D50" s="285"/>
      <c r="E50" s="218"/>
      <c r="F50" s="219"/>
      <c r="G50" s="286">
        <v>2.14</v>
      </c>
      <c r="H50" s="304"/>
      <c r="I50" s="185"/>
      <c r="J50" s="185"/>
      <c r="K50" s="186"/>
      <c r="L50" s="185"/>
      <c r="M50" s="185"/>
      <c r="N50" s="185"/>
      <c r="O50" s="305"/>
      <c r="P50" s="318"/>
      <c r="Q50" s="191">
        <v>2.14</v>
      </c>
      <c r="R50" s="191"/>
      <c r="S50" s="191"/>
      <c r="T50" s="191"/>
      <c r="U50" s="232"/>
      <c r="V50" s="191"/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170" customFormat="1" ht="12" customHeight="1" x14ac:dyDescent="0.25">
      <c r="A51" s="273">
        <v>44577</v>
      </c>
      <c r="B51" s="231" t="s">
        <v>179</v>
      </c>
      <c r="C51" s="274" t="s">
        <v>154</v>
      </c>
      <c r="D51" s="285">
        <v>251.98</v>
      </c>
      <c r="E51" s="218"/>
      <c r="F51" s="219"/>
      <c r="G51" s="286">
        <v>251.98</v>
      </c>
      <c r="H51" s="304"/>
      <c r="I51" s="185"/>
      <c r="J51" s="185"/>
      <c r="K51" s="186"/>
      <c r="L51" s="185"/>
      <c r="M51" s="185"/>
      <c r="N51" s="185"/>
      <c r="O51" s="305"/>
      <c r="P51" s="318"/>
      <c r="Q51" s="191"/>
      <c r="R51" s="191"/>
      <c r="S51" s="191"/>
      <c r="T51" s="191"/>
      <c r="U51" s="232"/>
      <c r="V51" s="191"/>
      <c r="W51" s="192"/>
      <c r="X51" s="191"/>
      <c r="Y51" s="191"/>
      <c r="Z51" s="191"/>
      <c r="AA51" s="319"/>
      <c r="AB51" s="168"/>
      <c r="AC51" s="168"/>
      <c r="AD51" s="168"/>
      <c r="AE51" s="168"/>
      <c r="AF51" s="168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</row>
    <row r="52" spans="1:115" s="170" customFormat="1" ht="12" customHeight="1" x14ac:dyDescent="0.25">
      <c r="A52" s="273">
        <v>44581</v>
      </c>
      <c r="B52" s="231" t="s">
        <v>194</v>
      </c>
      <c r="C52" s="274" t="s">
        <v>154</v>
      </c>
      <c r="D52" s="285">
        <v>50</v>
      </c>
      <c r="E52" s="218"/>
      <c r="F52" s="219"/>
      <c r="G52" s="286"/>
      <c r="H52" s="304"/>
      <c r="I52" s="185">
        <v>50</v>
      </c>
      <c r="J52" s="185"/>
      <c r="K52" s="186"/>
      <c r="L52" s="185"/>
      <c r="M52" s="185"/>
      <c r="N52" s="185"/>
      <c r="O52" s="305"/>
      <c r="P52" s="318"/>
      <c r="Q52" s="191"/>
      <c r="R52" s="191"/>
      <c r="S52" s="191"/>
      <c r="T52" s="191"/>
      <c r="U52" s="232"/>
      <c r="V52" s="191"/>
      <c r="W52" s="192"/>
      <c r="X52" s="191"/>
      <c r="Y52" s="191"/>
      <c r="Z52" s="191"/>
      <c r="AA52" s="319"/>
      <c r="AB52" s="168"/>
      <c r="AC52" s="168"/>
      <c r="AD52" s="168"/>
      <c r="AE52" s="168"/>
      <c r="AF52" s="168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</row>
    <row r="53" spans="1:115" s="170" customFormat="1" ht="12" customHeight="1" x14ac:dyDescent="0.25">
      <c r="A53" s="273">
        <v>44583</v>
      </c>
      <c r="B53" s="231" t="s">
        <v>195</v>
      </c>
      <c r="C53" s="274" t="s">
        <v>154</v>
      </c>
      <c r="D53" s="285">
        <v>136</v>
      </c>
      <c r="E53" s="218"/>
      <c r="F53" s="219"/>
      <c r="G53" s="286"/>
      <c r="H53" s="304"/>
      <c r="I53" s="185">
        <v>136</v>
      </c>
      <c r="J53" s="185"/>
      <c r="K53" s="186"/>
      <c r="L53" s="185"/>
      <c r="M53" s="185"/>
      <c r="N53" s="185"/>
      <c r="O53" s="305"/>
      <c r="P53" s="318"/>
      <c r="Q53" s="191"/>
      <c r="R53" s="191"/>
      <c r="S53" s="191"/>
      <c r="T53" s="191"/>
      <c r="U53" s="232"/>
      <c r="V53" s="191"/>
      <c r="W53" s="192"/>
      <c r="X53" s="191"/>
      <c r="Y53" s="191"/>
      <c r="Z53" s="191"/>
      <c r="AA53" s="319"/>
      <c r="AB53" s="168"/>
      <c r="AC53" s="168"/>
      <c r="AD53" s="168"/>
      <c r="AE53" s="168"/>
      <c r="AF53" s="168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</row>
    <row r="54" spans="1:115" s="170" customFormat="1" ht="12" customHeight="1" x14ac:dyDescent="0.25">
      <c r="A54" s="273">
        <v>44586</v>
      </c>
      <c r="B54" s="231" t="s">
        <v>196</v>
      </c>
      <c r="C54" s="274" t="s">
        <v>154</v>
      </c>
      <c r="D54" s="285">
        <v>50</v>
      </c>
      <c r="E54" s="218"/>
      <c r="F54" s="219"/>
      <c r="G54" s="286"/>
      <c r="H54" s="304"/>
      <c r="I54" s="185">
        <v>50</v>
      </c>
      <c r="J54" s="185"/>
      <c r="K54" s="186"/>
      <c r="L54" s="185"/>
      <c r="M54" s="185"/>
      <c r="N54" s="185"/>
      <c r="O54" s="305"/>
      <c r="P54" s="318"/>
      <c r="Q54" s="191"/>
      <c r="R54" s="191"/>
      <c r="S54" s="191"/>
      <c r="T54" s="191"/>
      <c r="U54" s="232"/>
      <c r="V54" s="191"/>
      <c r="W54" s="192"/>
      <c r="X54" s="191"/>
      <c r="Y54" s="191"/>
      <c r="Z54" s="191"/>
      <c r="AA54" s="319"/>
      <c r="AB54" s="168"/>
      <c r="AC54" s="168"/>
      <c r="AD54" s="168"/>
      <c r="AE54" s="168"/>
      <c r="AF54" s="168"/>
      <c r="AG54" s="168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</row>
    <row r="55" spans="1:115" s="170" customFormat="1" ht="12" customHeight="1" x14ac:dyDescent="0.25">
      <c r="A55" s="273">
        <v>44587</v>
      </c>
      <c r="B55" s="231" t="s">
        <v>198</v>
      </c>
      <c r="C55" s="274" t="s">
        <v>154</v>
      </c>
      <c r="D55" s="285"/>
      <c r="E55" s="218"/>
      <c r="F55" s="219">
        <v>5</v>
      </c>
      <c r="G55" s="286"/>
      <c r="H55" s="304"/>
      <c r="I55" s="185"/>
      <c r="J55" s="185"/>
      <c r="K55" s="186">
        <v>5</v>
      </c>
      <c r="L55" s="185"/>
      <c r="M55" s="185"/>
      <c r="N55" s="185"/>
      <c r="O55" s="305"/>
      <c r="P55" s="318"/>
      <c r="Q55" s="191"/>
      <c r="R55" s="191"/>
      <c r="S55" s="191"/>
      <c r="T55" s="191"/>
      <c r="U55" s="232"/>
      <c r="V55" s="191"/>
      <c r="W55" s="192"/>
      <c r="X55" s="191"/>
      <c r="Y55" s="191"/>
      <c r="Z55" s="191"/>
      <c r="AA55" s="319"/>
      <c r="AB55" s="168"/>
      <c r="AC55" s="168"/>
      <c r="AD55" s="168"/>
      <c r="AE55" s="168"/>
      <c r="AF55" s="168"/>
      <c r="AG55" s="168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</row>
    <row r="56" spans="1:115" s="170" customFormat="1" ht="12" customHeight="1" x14ac:dyDescent="0.25">
      <c r="A56" s="273">
        <v>44587</v>
      </c>
      <c r="B56" s="231" t="s">
        <v>199</v>
      </c>
      <c r="C56" s="274" t="s">
        <v>154</v>
      </c>
      <c r="D56" s="285"/>
      <c r="E56" s="218"/>
      <c r="F56" s="219">
        <v>87.5</v>
      </c>
      <c r="G56" s="286"/>
      <c r="H56" s="304"/>
      <c r="I56" s="185"/>
      <c r="J56" s="185"/>
      <c r="K56" s="186">
        <v>87.5</v>
      </c>
      <c r="L56" s="185"/>
      <c r="M56" s="185"/>
      <c r="N56" s="185"/>
      <c r="O56" s="305"/>
      <c r="P56" s="318"/>
      <c r="Q56" s="191"/>
      <c r="R56" s="191"/>
      <c r="S56" s="191"/>
      <c r="T56" s="191"/>
      <c r="U56" s="232"/>
      <c r="V56" s="191"/>
      <c r="W56" s="192"/>
      <c r="X56" s="191"/>
      <c r="Y56" s="191"/>
      <c r="Z56" s="191"/>
      <c r="AA56" s="319"/>
      <c r="AB56" s="168"/>
      <c r="AC56" s="168"/>
      <c r="AD56" s="168"/>
      <c r="AE56" s="168"/>
      <c r="AF56" s="168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</row>
    <row r="57" spans="1:115" s="170" customFormat="1" ht="12" customHeight="1" x14ac:dyDescent="0.25">
      <c r="A57" s="273">
        <v>44587</v>
      </c>
      <c r="B57" s="231" t="s">
        <v>200</v>
      </c>
      <c r="C57" s="274" t="s">
        <v>154</v>
      </c>
      <c r="D57" s="285"/>
      <c r="E57" s="218"/>
      <c r="F57" s="219">
        <v>2</v>
      </c>
      <c r="G57" s="286"/>
      <c r="H57" s="304"/>
      <c r="I57" s="185"/>
      <c r="J57" s="185"/>
      <c r="K57" s="186">
        <v>2</v>
      </c>
      <c r="L57" s="185"/>
      <c r="M57" s="185"/>
      <c r="N57" s="185"/>
      <c r="O57" s="305"/>
      <c r="P57" s="318"/>
      <c r="Q57" s="191"/>
      <c r="R57" s="191"/>
      <c r="S57" s="191"/>
      <c r="T57" s="191"/>
      <c r="U57" s="232"/>
      <c r="V57" s="191"/>
      <c r="W57" s="192"/>
      <c r="X57" s="191"/>
      <c r="Y57" s="191"/>
      <c r="Z57" s="191"/>
      <c r="AA57" s="319"/>
      <c r="AB57" s="168"/>
      <c r="AC57" s="168"/>
      <c r="AD57" s="168"/>
      <c r="AE57" s="168"/>
      <c r="AF57" s="168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</row>
    <row r="58" spans="1:115" s="170" customFormat="1" ht="12" customHeight="1" x14ac:dyDescent="0.25">
      <c r="A58" s="273">
        <v>44587</v>
      </c>
      <c r="B58" s="231" t="s">
        <v>201</v>
      </c>
      <c r="C58" s="274" t="s">
        <v>154</v>
      </c>
      <c r="D58" s="285"/>
      <c r="E58" s="218"/>
      <c r="F58" s="219">
        <v>10</v>
      </c>
      <c r="G58" s="286"/>
      <c r="H58" s="304"/>
      <c r="I58" s="185"/>
      <c r="J58" s="185"/>
      <c r="K58" s="186">
        <v>10</v>
      </c>
      <c r="L58" s="185"/>
      <c r="M58" s="185"/>
      <c r="N58" s="185"/>
      <c r="O58" s="305"/>
      <c r="P58" s="318"/>
      <c r="Q58" s="191"/>
      <c r="R58" s="191"/>
      <c r="S58" s="191"/>
      <c r="T58" s="191"/>
      <c r="U58" s="232"/>
      <c r="V58" s="191"/>
      <c r="W58" s="192"/>
      <c r="X58" s="191"/>
      <c r="Y58" s="191"/>
      <c r="Z58" s="191"/>
      <c r="AA58" s="319"/>
      <c r="AB58" s="168"/>
      <c r="AC58" s="168"/>
      <c r="AD58" s="168"/>
      <c r="AE58" s="168"/>
      <c r="AF58" s="168"/>
      <c r="AG58" s="168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</row>
    <row r="59" spans="1:115" s="170" customFormat="1" ht="12" customHeight="1" x14ac:dyDescent="0.25">
      <c r="A59" s="273">
        <v>44587</v>
      </c>
      <c r="B59" s="231" t="s">
        <v>202</v>
      </c>
      <c r="C59" s="274" t="s">
        <v>154</v>
      </c>
      <c r="D59" s="285">
        <v>66</v>
      </c>
      <c r="E59" s="218"/>
      <c r="F59" s="219"/>
      <c r="G59" s="286"/>
      <c r="H59" s="304"/>
      <c r="I59" s="185"/>
      <c r="J59" s="185"/>
      <c r="K59" s="186">
        <v>66</v>
      </c>
      <c r="L59" s="185"/>
      <c r="M59" s="185"/>
      <c r="N59" s="185"/>
      <c r="O59" s="305"/>
      <c r="P59" s="318"/>
      <c r="Q59" s="191"/>
      <c r="R59" s="191"/>
      <c r="S59" s="191"/>
      <c r="T59" s="191"/>
      <c r="U59" s="232"/>
      <c r="V59" s="191"/>
      <c r="W59" s="192"/>
      <c r="X59" s="191"/>
      <c r="Y59" s="191"/>
      <c r="Z59" s="191"/>
      <c r="AA59" s="319"/>
      <c r="AB59" s="168"/>
      <c r="AC59" s="168"/>
      <c r="AD59" s="168"/>
      <c r="AE59" s="168"/>
      <c r="AF59" s="168"/>
      <c r="AG59" s="168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</row>
    <row r="60" spans="1:115" s="170" customFormat="1" ht="12" customHeight="1" x14ac:dyDescent="0.25">
      <c r="A60" s="273">
        <v>44587</v>
      </c>
      <c r="B60" s="231" t="s">
        <v>203</v>
      </c>
      <c r="C60" s="274" t="s">
        <v>154</v>
      </c>
      <c r="D60" s="285">
        <v>8.5</v>
      </c>
      <c r="E60" s="218"/>
      <c r="F60" s="219"/>
      <c r="G60" s="286"/>
      <c r="H60" s="304"/>
      <c r="I60" s="185"/>
      <c r="J60" s="185"/>
      <c r="K60" s="186">
        <v>8.5</v>
      </c>
      <c r="L60" s="185"/>
      <c r="M60" s="185"/>
      <c r="N60" s="185"/>
      <c r="O60" s="305"/>
      <c r="P60" s="318"/>
      <c r="Q60" s="191"/>
      <c r="R60" s="191"/>
      <c r="S60" s="191"/>
      <c r="T60" s="191"/>
      <c r="U60" s="232"/>
      <c r="V60" s="191"/>
      <c r="W60" s="192"/>
      <c r="X60" s="191"/>
      <c r="Y60" s="191"/>
      <c r="Z60" s="191"/>
      <c r="AA60" s="319"/>
      <c r="AB60" s="168"/>
      <c r="AC60" s="168"/>
      <c r="AD60" s="168"/>
      <c r="AE60" s="168"/>
      <c r="AF60" s="168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</row>
    <row r="61" spans="1:115" s="170" customFormat="1" ht="12" customHeight="1" x14ac:dyDescent="0.25">
      <c r="A61" s="273">
        <v>44587</v>
      </c>
      <c r="B61" s="231" t="s">
        <v>204</v>
      </c>
      <c r="C61" s="274" t="s">
        <v>154</v>
      </c>
      <c r="D61" s="285"/>
      <c r="E61" s="218"/>
      <c r="F61" s="219">
        <v>146.69999999999999</v>
      </c>
      <c r="G61" s="286"/>
      <c r="H61" s="304"/>
      <c r="I61" s="185"/>
      <c r="J61" s="185"/>
      <c r="K61" s="186">
        <v>146.69999999999999</v>
      </c>
      <c r="L61" s="185"/>
      <c r="M61" s="185"/>
      <c r="N61" s="185"/>
      <c r="O61" s="305"/>
      <c r="P61" s="318"/>
      <c r="Q61" s="191"/>
      <c r="R61" s="191"/>
      <c r="S61" s="191"/>
      <c r="T61" s="191"/>
      <c r="U61" s="232"/>
      <c r="V61" s="191"/>
      <c r="W61" s="192"/>
      <c r="X61" s="191"/>
      <c r="Y61" s="191"/>
      <c r="Z61" s="191"/>
      <c r="AA61" s="319"/>
      <c r="AB61" s="168"/>
      <c r="AC61" s="168"/>
      <c r="AD61" s="168"/>
      <c r="AE61" s="168"/>
      <c r="AF61" s="168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</row>
    <row r="62" spans="1:115" s="170" customFormat="1" ht="12" customHeight="1" x14ac:dyDescent="0.25">
      <c r="A62" s="273">
        <v>44587</v>
      </c>
      <c r="B62" s="231" t="s">
        <v>205</v>
      </c>
      <c r="C62" s="274" t="s">
        <v>154</v>
      </c>
      <c r="D62" s="285">
        <v>113</v>
      </c>
      <c r="E62" s="218"/>
      <c r="F62" s="219"/>
      <c r="G62" s="286"/>
      <c r="H62" s="304"/>
      <c r="I62" s="185"/>
      <c r="J62" s="185"/>
      <c r="K62" s="186">
        <v>113</v>
      </c>
      <c r="L62" s="185"/>
      <c r="M62" s="185"/>
      <c r="N62" s="185"/>
      <c r="O62" s="305"/>
      <c r="P62" s="318"/>
      <c r="Q62" s="191"/>
      <c r="R62" s="191"/>
      <c r="S62" s="191"/>
      <c r="T62" s="191"/>
      <c r="U62" s="232"/>
      <c r="V62" s="191"/>
      <c r="W62" s="192"/>
      <c r="X62" s="191"/>
      <c r="Y62" s="191"/>
      <c r="Z62" s="191"/>
      <c r="AA62" s="319"/>
      <c r="AB62" s="168"/>
      <c r="AC62" s="168"/>
      <c r="AD62" s="168"/>
      <c r="AE62" s="168"/>
      <c r="AF62" s="168"/>
      <c r="AG62" s="168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</row>
    <row r="63" spans="1:115" s="170" customFormat="1" ht="12" customHeight="1" x14ac:dyDescent="0.25">
      <c r="A63" s="273">
        <v>44587</v>
      </c>
      <c r="B63" s="231" t="s">
        <v>206</v>
      </c>
      <c r="C63" s="274" t="s">
        <v>154</v>
      </c>
      <c r="D63" s="285">
        <v>239</v>
      </c>
      <c r="E63" s="218"/>
      <c r="F63" s="219"/>
      <c r="G63" s="286"/>
      <c r="H63" s="304"/>
      <c r="I63" s="185"/>
      <c r="J63" s="185"/>
      <c r="K63" s="186">
        <v>239</v>
      </c>
      <c r="L63" s="185"/>
      <c r="M63" s="185"/>
      <c r="N63" s="185"/>
      <c r="O63" s="305"/>
      <c r="P63" s="318"/>
      <c r="Q63" s="191"/>
      <c r="R63" s="191"/>
      <c r="S63" s="191"/>
      <c r="T63" s="191"/>
      <c r="U63" s="232"/>
      <c r="V63" s="191"/>
      <c r="W63" s="192"/>
      <c r="X63" s="191"/>
      <c r="Y63" s="191"/>
      <c r="Z63" s="191"/>
      <c r="AA63" s="319"/>
      <c r="AB63" s="168"/>
      <c r="AC63" s="168"/>
      <c r="AD63" s="168"/>
      <c r="AE63" s="168"/>
      <c r="AF63" s="168"/>
      <c r="AG63" s="168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</row>
    <row r="64" spans="1:115" s="170" customFormat="1" ht="12" customHeight="1" x14ac:dyDescent="0.25">
      <c r="A64" s="273">
        <v>44587</v>
      </c>
      <c r="B64" s="231" t="s">
        <v>207</v>
      </c>
      <c r="C64" s="274" t="s">
        <v>154</v>
      </c>
      <c r="D64" s="285">
        <v>37</v>
      </c>
      <c r="E64" s="218"/>
      <c r="F64" s="219"/>
      <c r="G64" s="286"/>
      <c r="H64" s="304"/>
      <c r="I64" s="185"/>
      <c r="J64" s="185"/>
      <c r="K64" s="186">
        <v>37</v>
      </c>
      <c r="L64" s="185"/>
      <c r="M64" s="185"/>
      <c r="N64" s="185"/>
      <c r="O64" s="305"/>
      <c r="P64" s="318"/>
      <c r="Q64" s="191"/>
      <c r="R64" s="191"/>
      <c r="S64" s="191"/>
      <c r="T64" s="191"/>
      <c r="U64" s="232"/>
      <c r="V64" s="191"/>
      <c r="W64" s="192"/>
      <c r="X64" s="191"/>
      <c r="Y64" s="191"/>
      <c r="Z64" s="191"/>
      <c r="AA64" s="319"/>
      <c r="AB64" s="168"/>
      <c r="AC64" s="168"/>
      <c r="AD64" s="168"/>
      <c r="AE64" s="168"/>
      <c r="AF64" s="168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</row>
    <row r="65" spans="1:115" s="170" customFormat="1" ht="12" customHeight="1" x14ac:dyDescent="0.25">
      <c r="A65" s="273">
        <v>44588</v>
      </c>
      <c r="B65" s="231" t="s">
        <v>208</v>
      </c>
      <c r="C65" s="274" t="s">
        <v>154</v>
      </c>
      <c r="D65" s="285"/>
      <c r="E65" s="218">
        <v>172.8</v>
      </c>
      <c r="F65" s="219"/>
      <c r="G65" s="286"/>
      <c r="H65" s="304"/>
      <c r="I65" s="185"/>
      <c r="J65" s="185"/>
      <c r="K65" s="186"/>
      <c r="L65" s="185"/>
      <c r="M65" s="185"/>
      <c r="N65" s="185"/>
      <c r="O65" s="305"/>
      <c r="P65" s="318"/>
      <c r="Q65" s="191"/>
      <c r="R65" s="191"/>
      <c r="S65" s="191"/>
      <c r="T65" s="191"/>
      <c r="U65" s="232"/>
      <c r="V65" s="191">
        <v>172.8</v>
      </c>
      <c r="W65" s="192"/>
      <c r="X65" s="191"/>
      <c r="Y65" s="191"/>
      <c r="Z65" s="191"/>
      <c r="AA65" s="319"/>
      <c r="AB65" s="168"/>
      <c r="AC65" s="168"/>
      <c r="AD65" s="168"/>
      <c r="AE65" s="168"/>
      <c r="AF65" s="168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</row>
    <row r="66" spans="1:115" s="170" customFormat="1" ht="12" customHeight="1" x14ac:dyDescent="0.25">
      <c r="A66" s="273">
        <v>44589</v>
      </c>
      <c r="B66" s="231" t="s">
        <v>210</v>
      </c>
      <c r="C66" s="274" t="s">
        <v>154</v>
      </c>
      <c r="D66" s="285">
        <v>251.2</v>
      </c>
      <c r="E66" s="218"/>
      <c r="F66" s="219"/>
      <c r="G66" s="286">
        <v>251.2</v>
      </c>
      <c r="H66" s="304"/>
      <c r="I66" s="185"/>
      <c r="J66" s="185"/>
      <c r="K66" s="186"/>
      <c r="L66" s="185"/>
      <c r="M66" s="185"/>
      <c r="N66" s="185"/>
      <c r="O66" s="305"/>
      <c r="P66" s="318"/>
      <c r="Q66" s="191"/>
      <c r="R66" s="191"/>
      <c r="S66" s="191"/>
      <c r="T66" s="191"/>
      <c r="U66" s="232"/>
      <c r="V66" s="191"/>
      <c r="W66" s="192"/>
      <c r="X66" s="191"/>
      <c r="Y66" s="191"/>
      <c r="Z66" s="191"/>
      <c r="AA66" s="319"/>
      <c r="AB66" s="168"/>
      <c r="AC66" s="168"/>
      <c r="AD66" s="168"/>
      <c r="AE66" s="168"/>
      <c r="AF66" s="168"/>
      <c r="AG66" s="168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</row>
    <row r="67" spans="1:115" s="170" customFormat="1" ht="12" customHeight="1" x14ac:dyDescent="0.25">
      <c r="A67" s="273">
        <v>44589</v>
      </c>
      <c r="B67" s="231" t="s">
        <v>211</v>
      </c>
      <c r="C67" s="274" t="s">
        <v>154</v>
      </c>
      <c r="D67" s="285"/>
      <c r="E67" s="218">
        <v>9.58</v>
      </c>
      <c r="F67" s="219"/>
      <c r="G67" s="286"/>
      <c r="H67" s="304"/>
      <c r="I67" s="185"/>
      <c r="J67" s="185"/>
      <c r="K67" s="186"/>
      <c r="L67" s="185"/>
      <c r="M67" s="185"/>
      <c r="N67" s="185"/>
      <c r="O67" s="305"/>
      <c r="P67" s="318"/>
      <c r="Q67" s="191"/>
      <c r="R67" s="191"/>
      <c r="S67" s="191"/>
      <c r="T67" s="191"/>
      <c r="U67" s="232"/>
      <c r="V67" s="191"/>
      <c r="W67" s="192"/>
      <c r="X67" s="191"/>
      <c r="Y67" s="191">
        <v>9.58</v>
      </c>
      <c r="Z67" s="191"/>
      <c r="AA67" s="319"/>
      <c r="AB67" s="168"/>
      <c r="AC67" s="168"/>
      <c r="AD67" s="168"/>
      <c r="AE67" s="168"/>
      <c r="AF67" s="168"/>
      <c r="AG67" s="168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</row>
    <row r="68" spans="1:115" s="170" customFormat="1" ht="12" customHeight="1" x14ac:dyDescent="0.25">
      <c r="A68" s="273">
        <v>44589</v>
      </c>
      <c r="B68" s="231" t="s">
        <v>212</v>
      </c>
      <c r="C68" s="274" t="s">
        <v>154</v>
      </c>
      <c r="D68" s="285"/>
      <c r="E68" s="218"/>
      <c r="F68" s="219"/>
      <c r="G68" s="286">
        <v>6.87</v>
      </c>
      <c r="H68" s="304"/>
      <c r="I68" s="185"/>
      <c r="J68" s="185"/>
      <c r="K68" s="186"/>
      <c r="L68" s="185"/>
      <c r="M68" s="185"/>
      <c r="N68" s="185"/>
      <c r="O68" s="305"/>
      <c r="P68" s="318"/>
      <c r="Q68" s="191">
        <v>6.87</v>
      </c>
      <c r="R68" s="191"/>
      <c r="S68" s="191"/>
      <c r="T68" s="191"/>
      <c r="U68" s="232"/>
      <c r="V68" s="191"/>
      <c r="W68" s="192"/>
      <c r="X68" s="191"/>
      <c r="Y68" s="191"/>
      <c r="Z68" s="191"/>
      <c r="AA68" s="319"/>
      <c r="AB68" s="168"/>
      <c r="AC68" s="168"/>
      <c r="AD68" s="168"/>
      <c r="AE68" s="168"/>
      <c r="AF68" s="168"/>
      <c r="AG68" s="168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</row>
    <row r="69" spans="1:115" s="170" customFormat="1" ht="12" customHeight="1" x14ac:dyDescent="0.25">
      <c r="A69" s="273">
        <v>44590</v>
      </c>
      <c r="B69" s="231" t="s">
        <v>142</v>
      </c>
      <c r="C69" s="274" t="s">
        <v>154</v>
      </c>
      <c r="D69" s="285">
        <v>27</v>
      </c>
      <c r="E69" s="218"/>
      <c r="F69" s="219"/>
      <c r="G69" s="286"/>
      <c r="H69" s="304"/>
      <c r="I69" s="185">
        <v>27</v>
      </c>
      <c r="J69" s="185"/>
      <c r="K69" s="186"/>
      <c r="L69" s="185"/>
      <c r="M69" s="185"/>
      <c r="N69" s="185"/>
      <c r="O69" s="305"/>
      <c r="P69" s="318"/>
      <c r="Q69" s="191"/>
      <c r="R69" s="191"/>
      <c r="S69" s="191"/>
      <c r="T69" s="191"/>
      <c r="U69" s="232"/>
      <c r="V69" s="191"/>
      <c r="W69" s="192"/>
      <c r="X69" s="191"/>
      <c r="Y69" s="191"/>
      <c r="Z69" s="191"/>
      <c r="AA69" s="319"/>
      <c r="AB69" s="168"/>
      <c r="AC69" s="168"/>
      <c r="AD69" s="168"/>
      <c r="AE69" s="168"/>
      <c r="AF69" s="168"/>
      <c r="AG69" s="168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</row>
    <row r="70" spans="1:115" s="170" customFormat="1" ht="12" customHeight="1" x14ac:dyDescent="0.25">
      <c r="A70" s="273">
        <v>44591</v>
      </c>
      <c r="B70" s="231" t="s">
        <v>213</v>
      </c>
      <c r="C70" s="274" t="s">
        <v>154</v>
      </c>
      <c r="D70" s="285"/>
      <c r="E70" s="218"/>
      <c r="F70" s="219">
        <v>24</v>
      </c>
      <c r="G70" s="286"/>
      <c r="H70" s="304"/>
      <c r="I70" s="185"/>
      <c r="J70" s="185"/>
      <c r="K70" s="186">
        <v>24</v>
      </c>
      <c r="L70" s="185"/>
      <c r="M70" s="185"/>
      <c r="N70" s="185"/>
      <c r="O70" s="305"/>
      <c r="P70" s="318"/>
      <c r="Q70" s="191"/>
      <c r="R70" s="191"/>
      <c r="S70" s="191"/>
      <c r="T70" s="191"/>
      <c r="U70" s="232"/>
      <c r="V70" s="191"/>
      <c r="W70" s="192"/>
      <c r="X70" s="191"/>
      <c r="Y70" s="191"/>
      <c r="Z70" s="191"/>
      <c r="AA70" s="319"/>
      <c r="AB70" s="168"/>
      <c r="AC70" s="168"/>
      <c r="AD70" s="168"/>
      <c r="AE70" s="168"/>
      <c r="AF70" s="168"/>
      <c r="AG70" s="168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</row>
    <row r="71" spans="1:115" s="170" customFormat="1" ht="12" customHeight="1" x14ac:dyDescent="0.25">
      <c r="A71" s="273">
        <v>44591</v>
      </c>
      <c r="B71" s="231" t="s">
        <v>214</v>
      </c>
      <c r="C71" s="274" t="s">
        <v>154</v>
      </c>
      <c r="D71" s="285"/>
      <c r="E71" s="218"/>
      <c r="F71" s="219">
        <v>1</v>
      </c>
      <c r="G71" s="286"/>
      <c r="H71" s="304"/>
      <c r="I71" s="185"/>
      <c r="J71" s="185"/>
      <c r="K71" s="186">
        <v>1</v>
      </c>
      <c r="L71" s="185"/>
      <c r="M71" s="185"/>
      <c r="N71" s="185"/>
      <c r="O71" s="305"/>
      <c r="P71" s="318"/>
      <c r="Q71" s="191"/>
      <c r="R71" s="191"/>
      <c r="S71" s="191"/>
      <c r="T71" s="191"/>
      <c r="U71" s="232"/>
      <c r="V71" s="191"/>
      <c r="W71" s="192"/>
      <c r="X71" s="191"/>
      <c r="Y71" s="191"/>
      <c r="Z71" s="191"/>
      <c r="AA71" s="319"/>
      <c r="AB71" s="168"/>
      <c r="AC71" s="168"/>
      <c r="AD71" s="168"/>
      <c r="AE71" s="168"/>
      <c r="AF71" s="168"/>
      <c r="AG71" s="168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</row>
    <row r="72" spans="1:115" s="170" customFormat="1" ht="12" customHeight="1" x14ac:dyDescent="0.25">
      <c r="A72" s="273">
        <v>44592</v>
      </c>
      <c r="B72" s="231" t="s">
        <v>215</v>
      </c>
      <c r="C72" s="274" t="s">
        <v>145</v>
      </c>
      <c r="D72" s="285"/>
      <c r="E72" s="218">
        <v>60</v>
      </c>
      <c r="F72" s="219"/>
      <c r="G72" s="286"/>
      <c r="H72" s="304"/>
      <c r="I72" s="185"/>
      <c r="J72" s="185"/>
      <c r="K72" s="186"/>
      <c r="L72" s="185"/>
      <c r="M72" s="185"/>
      <c r="N72" s="185"/>
      <c r="O72" s="305"/>
      <c r="P72" s="318"/>
      <c r="Q72" s="191"/>
      <c r="R72" s="191"/>
      <c r="S72" s="191"/>
      <c r="T72" s="191"/>
      <c r="U72" s="232"/>
      <c r="V72" s="191">
        <v>60</v>
      </c>
      <c r="W72" s="192"/>
      <c r="X72" s="191"/>
      <c r="Y72" s="191"/>
      <c r="Z72" s="191"/>
      <c r="AA72" s="319"/>
      <c r="AB72" s="168"/>
      <c r="AC72" s="168"/>
      <c r="AD72" s="168"/>
      <c r="AE72" s="168"/>
      <c r="AF72" s="168"/>
      <c r="AG72" s="168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</row>
    <row r="73" spans="1:115" s="9" customFormat="1" ht="11" thickBot="1" x14ac:dyDescent="0.3">
      <c r="A73" s="277" t="s">
        <v>25</v>
      </c>
      <c r="B73" s="278"/>
      <c r="C73" s="279"/>
      <c r="D73" s="289">
        <f t="shared" ref="D73:AA73" si="0">SUM(D6:D72)</f>
        <v>2179.75</v>
      </c>
      <c r="E73" s="290">
        <f t="shared" si="0"/>
        <v>2633.03</v>
      </c>
      <c r="F73" s="291">
        <f t="shared" si="0"/>
        <v>585.79999999999995</v>
      </c>
      <c r="G73" s="292">
        <f t="shared" si="0"/>
        <v>656.02</v>
      </c>
      <c r="H73" s="289">
        <f t="shared" si="0"/>
        <v>0</v>
      </c>
      <c r="I73" s="290">
        <f t="shared" si="0"/>
        <v>758.92000000000007</v>
      </c>
      <c r="J73" s="290">
        <f t="shared" si="0"/>
        <v>0</v>
      </c>
      <c r="K73" s="290">
        <f t="shared" si="0"/>
        <v>1463.5</v>
      </c>
      <c r="L73" s="290">
        <f t="shared" si="0"/>
        <v>0</v>
      </c>
      <c r="M73" s="290">
        <f t="shared" si="0"/>
        <v>39.950000000000003</v>
      </c>
      <c r="N73" s="290">
        <f t="shared" si="0"/>
        <v>0</v>
      </c>
      <c r="O73" s="308">
        <f t="shared" si="0"/>
        <v>0</v>
      </c>
      <c r="P73" s="322">
        <f t="shared" si="0"/>
        <v>0</v>
      </c>
      <c r="Q73" s="323">
        <f t="shared" si="0"/>
        <v>142.75</v>
      </c>
      <c r="R73" s="323">
        <f t="shared" si="0"/>
        <v>0</v>
      </c>
      <c r="S73" s="323">
        <f t="shared" si="0"/>
        <v>10.09</v>
      </c>
      <c r="T73" s="323">
        <f t="shared" si="0"/>
        <v>364.81</v>
      </c>
      <c r="U73" s="323">
        <f t="shared" si="0"/>
        <v>1440.45</v>
      </c>
      <c r="V73" s="323">
        <f t="shared" si="0"/>
        <v>807.79</v>
      </c>
      <c r="W73" s="323">
        <f t="shared" si="0"/>
        <v>10.4</v>
      </c>
      <c r="X73" s="323">
        <f t="shared" si="0"/>
        <v>0</v>
      </c>
      <c r="Y73" s="323">
        <f t="shared" si="0"/>
        <v>9.58</v>
      </c>
      <c r="Z73" s="323">
        <f t="shared" si="0"/>
        <v>0</v>
      </c>
      <c r="AA73" s="324">
        <f t="shared" si="0"/>
        <v>0</v>
      </c>
      <c r="AB73" s="37"/>
      <c r="AC73" s="37"/>
      <c r="AD73" s="37"/>
      <c r="AE73" s="37"/>
      <c r="AF73" s="37"/>
      <c r="AG73" s="37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s="38" customFormat="1" ht="11.5" thickTop="1" thickBot="1" x14ac:dyDescent="0.3">
      <c r="A74" s="326"/>
      <c r="B74" s="327"/>
      <c r="C74" s="328"/>
      <c r="D74" s="336"/>
      <c r="E74" s="337"/>
      <c r="F74" s="338"/>
      <c r="G74" s="339"/>
      <c r="H74" s="353"/>
      <c r="I74" s="338"/>
      <c r="J74" s="338"/>
      <c r="K74" s="354"/>
      <c r="L74" s="338"/>
      <c r="M74" s="338"/>
      <c r="N74" s="355"/>
      <c r="O74" s="339"/>
      <c r="P74" s="372"/>
      <c r="Q74" s="373"/>
      <c r="R74" s="373"/>
      <c r="S74" s="373"/>
      <c r="T74" s="374"/>
      <c r="U74" s="373"/>
      <c r="V74" s="373"/>
      <c r="W74" s="375"/>
      <c r="X74" s="376"/>
      <c r="Y74" s="376"/>
      <c r="Z74" s="376"/>
      <c r="AA74" s="377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</row>
    <row r="75" spans="1:115" s="6" customFormat="1" ht="53.5" thickTop="1" thickBot="1" x14ac:dyDescent="0.3">
      <c r="A75" s="329" t="s">
        <v>1</v>
      </c>
      <c r="B75" s="12" t="s">
        <v>2</v>
      </c>
      <c r="C75" s="330"/>
      <c r="D75" s="340" t="s">
        <v>3</v>
      </c>
      <c r="E75" s="233"/>
      <c r="F75" s="233" t="s">
        <v>4</v>
      </c>
      <c r="G75" s="341"/>
      <c r="H75" s="356" t="s">
        <v>5</v>
      </c>
      <c r="I75" s="13" t="s">
        <v>6</v>
      </c>
      <c r="J75" s="13" t="s">
        <v>7</v>
      </c>
      <c r="K75" s="14" t="s">
        <v>8</v>
      </c>
      <c r="L75" s="15" t="s">
        <v>9</v>
      </c>
      <c r="M75" s="14" t="s">
        <v>10</v>
      </c>
      <c r="N75" s="14" t="s">
        <v>11</v>
      </c>
      <c r="O75" s="357" t="s">
        <v>12</v>
      </c>
      <c r="P75" s="293" t="s">
        <v>13</v>
      </c>
      <c r="Q75" s="297" t="s">
        <v>98</v>
      </c>
      <c r="R75" s="309" t="s">
        <v>14</v>
      </c>
      <c r="S75" s="310" t="s">
        <v>15</v>
      </c>
      <c r="T75" s="311" t="s">
        <v>16</v>
      </c>
      <c r="U75" s="297" t="s">
        <v>17</v>
      </c>
      <c r="V75" s="297" t="s">
        <v>18</v>
      </c>
      <c r="W75" s="294" t="s">
        <v>63</v>
      </c>
      <c r="X75" s="312" t="s">
        <v>19</v>
      </c>
      <c r="Y75" s="297" t="s">
        <v>65</v>
      </c>
      <c r="Z75" s="297" t="s">
        <v>102</v>
      </c>
      <c r="AA75" s="298" t="s">
        <v>104</v>
      </c>
    </row>
    <row r="76" spans="1:115" s="6" customFormat="1" ht="11" thickBot="1" x14ac:dyDescent="0.3">
      <c r="A76" s="331"/>
      <c r="B76" s="16"/>
      <c r="C76" s="332"/>
      <c r="D76" s="342" t="s">
        <v>22</v>
      </c>
      <c r="E76" s="39" t="s">
        <v>23</v>
      </c>
      <c r="F76" s="16" t="s">
        <v>22</v>
      </c>
      <c r="G76" s="343" t="s">
        <v>23</v>
      </c>
      <c r="H76" s="331" t="s">
        <v>22</v>
      </c>
      <c r="I76" s="16" t="s">
        <v>22</v>
      </c>
      <c r="J76" s="16" t="s">
        <v>22</v>
      </c>
      <c r="K76" s="17" t="s">
        <v>22</v>
      </c>
      <c r="L76" s="18" t="s">
        <v>22</v>
      </c>
      <c r="M76" s="19" t="s">
        <v>22</v>
      </c>
      <c r="N76" s="20"/>
      <c r="O76" s="358" t="s">
        <v>22</v>
      </c>
      <c r="P76" s="331" t="s">
        <v>23</v>
      </c>
      <c r="Q76" s="16" t="s">
        <v>23</v>
      </c>
      <c r="R76" s="18" t="s">
        <v>23</v>
      </c>
      <c r="S76" s="18" t="s">
        <v>23</v>
      </c>
      <c r="T76" s="16" t="s">
        <v>23</v>
      </c>
      <c r="U76" s="16" t="s">
        <v>23</v>
      </c>
      <c r="V76" s="16" t="s">
        <v>23</v>
      </c>
      <c r="W76" s="19" t="s">
        <v>23</v>
      </c>
      <c r="X76" s="16" t="s">
        <v>23</v>
      </c>
      <c r="Y76" s="16" t="s">
        <v>23</v>
      </c>
      <c r="Z76" s="16" t="s">
        <v>23</v>
      </c>
      <c r="AA76" s="378" t="s">
        <v>23</v>
      </c>
    </row>
    <row r="77" spans="1:115" s="21" customFormat="1" ht="11" thickBot="1" x14ac:dyDescent="0.3">
      <c r="A77" s="333"/>
      <c r="B77" s="334"/>
      <c r="C77" s="335"/>
      <c r="D77" s="344">
        <f t="shared" ref="D77:AA77" si="1">SUM(D5:D72)</f>
        <v>10868.030000000004</v>
      </c>
      <c r="E77" s="345">
        <f t="shared" si="1"/>
        <v>2633.03</v>
      </c>
      <c r="F77" s="345">
        <f t="shared" si="1"/>
        <v>751.77</v>
      </c>
      <c r="G77" s="346">
        <f t="shared" si="1"/>
        <v>656.02</v>
      </c>
      <c r="H77" s="359">
        <f t="shared" si="1"/>
        <v>0</v>
      </c>
      <c r="I77" s="360">
        <f t="shared" si="1"/>
        <v>758.92000000000007</v>
      </c>
      <c r="J77" s="360">
        <f t="shared" si="1"/>
        <v>0</v>
      </c>
      <c r="K77" s="360">
        <f t="shared" si="1"/>
        <v>1463.5</v>
      </c>
      <c r="L77" s="360">
        <f t="shared" si="1"/>
        <v>0</v>
      </c>
      <c r="M77" s="360">
        <f t="shared" si="1"/>
        <v>39.950000000000003</v>
      </c>
      <c r="N77" s="360">
        <f t="shared" si="1"/>
        <v>0</v>
      </c>
      <c r="O77" s="361">
        <f t="shared" si="1"/>
        <v>8854.2500000000018</v>
      </c>
      <c r="P77" s="359">
        <f t="shared" si="1"/>
        <v>0</v>
      </c>
      <c r="Q77" s="360">
        <f t="shared" si="1"/>
        <v>142.75</v>
      </c>
      <c r="R77" s="360">
        <f t="shared" si="1"/>
        <v>0</v>
      </c>
      <c r="S77" s="360">
        <f t="shared" si="1"/>
        <v>10.09</v>
      </c>
      <c r="T77" s="360">
        <f t="shared" si="1"/>
        <v>364.81</v>
      </c>
      <c r="U77" s="360">
        <f t="shared" si="1"/>
        <v>1440.45</v>
      </c>
      <c r="V77" s="360">
        <f t="shared" si="1"/>
        <v>807.79</v>
      </c>
      <c r="W77" s="360">
        <f t="shared" si="1"/>
        <v>10.4</v>
      </c>
      <c r="X77" s="360">
        <f t="shared" si="1"/>
        <v>0</v>
      </c>
      <c r="Y77" s="360">
        <f t="shared" si="1"/>
        <v>9.58</v>
      </c>
      <c r="Z77" s="360">
        <f t="shared" si="1"/>
        <v>0</v>
      </c>
      <c r="AA77" s="361">
        <f t="shared" si="1"/>
        <v>0</v>
      </c>
    </row>
    <row r="78" spans="1:115" s="6" customFormat="1" ht="11.5" thickTop="1" thickBot="1" x14ac:dyDescent="0.3">
      <c r="A78" s="347"/>
      <c r="B78" s="348" t="s">
        <v>26</v>
      </c>
      <c r="C78" s="349"/>
      <c r="D78" s="350">
        <f>SUM(D77-E77)</f>
        <v>8235.0000000000036</v>
      </c>
      <c r="E78" s="351"/>
      <c r="F78" s="350">
        <f>SUM(F77-G77)</f>
        <v>95.75</v>
      </c>
      <c r="G78" s="352"/>
      <c r="H78" s="363"/>
      <c r="I78" s="379"/>
      <c r="J78" s="379" t="s">
        <v>20</v>
      </c>
      <c r="K78" s="365"/>
      <c r="L78" s="364"/>
      <c r="M78" s="364" t="s">
        <v>20</v>
      </c>
      <c r="N78" s="366"/>
      <c r="O78" s="367" t="s">
        <v>20</v>
      </c>
      <c r="P78" s="363"/>
      <c r="Q78" s="364"/>
      <c r="R78" s="364" t="s">
        <v>20</v>
      </c>
      <c r="S78" s="364" t="s">
        <v>20</v>
      </c>
      <c r="T78" s="364" t="s">
        <v>20</v>
      </c>
      <c r="U78" s="371"/>
      <c r="V78" s="364" t="s">
        <v>20</v>
      </c>
      <c r="W78" s="371"/>
      <c r="X78" s="364" t="s">
        <v>20</v>
      </c>
      <c r="Y78" s="364" t="s">
        <v>20</v>
      </c>
      <c r="Z78" s="364" t="s">
        <v>20</v>
      </c>
      <c r="AA78" s="352" t="s">
        <v>20</v>
      </c>
    </row>
    <row r="79" spans="1:115" s="6" customFormat="1" ht="13.5" thickTop="1" thickBot="1" x14ac:dyDescent="0.3">
      <c r="A79" s="2"/>
      <c r="B79" s="2"/>
      <c r="C79" s="55"/>
      <c r="D79" s="35"/>
      <c r="E79" s="34"/>
      <c r="F79" s="4"/>
      <c r="I79" s="546" t="s">
        <v>27</v>
      </c>
      <c r="J79" s="547"/>
      <c r="K79" s="362">
        <f>SUM(H77:O77)</f>
        <v>11116.620000000003</v>
      </c>
      <c r="O79" s="22"/>
      <c r="P79" s="4"/>
      <c r="Q79" s="6" t="s">
        <v>28</v>
      </c>
      <c r="R79" s="368" t="s">
        <v>20</v>
      </c>
      <c r="S79" s="369">
        <f>SUM(P77:AA77)</f>
        <v>2785.87</v>
      </c>
      <c r="T79" s="370"/>
    </row>
    <row r="80" spans="1:115" s="6" customFormat="1" ht="11" thickBot="1" x14ac:dyDescent="0.3">
      <c r="A80" s="2"/>
      <c r="B80" s="23" t="s">
        <v>29</v>
      </c>
      <c r="C80" s="23"/>
      <c r="D80" s="40" t="s">
        <v>20</v>
      </c>
      <c r="E80" s="193">
        <f>SUM(D77-E77+F77-G77)</f>
        <v>8330.7500000000036</v>
      </c>
      <c r="F80" s="25" t="s">
        <v>49</v>
      </c>
      <c r="H80" s="26"/>
      <c r="I80" s="46"/>
      <c r="J80" s="46"/>
      <c r="K80" s="27"/>
      <c r="M80" s="7"/>
      <c r="N80" s="46"/>
      <c r="O80" s="24">
        <f>E77</f>
        <v>2633.03</v>
      </c>
      <c r="P80" s="540">
        <f>SUM(K79-S79)</f>
        <v>8330.7500000000036</v>
      </c>
      <c r="Q80" s="540"/>
      <c r="R80" s="541" t="s">
        <v>30</v>
      </c>
      <c r="S80" s="541"/>
      <c r="T80" s="541"/>
    </row>
    <row r="81" spans="1:27" s="6" customFormat="1" ht="10.5" x14ac:dyDescent="0.25">
      <c r="A81" s="1"/>
      <c r="B81" s="2"/>
      <c r="C81" s="55"/>
      <c r="D81" s="28"/>
      <c r="E81" s="34"/>
      <c r="F81" s="4"/>
      <c r="G81" s="3"/>
      <c r="H81" s="3"/>
      <c r="I81" s="3"/>
      <c r="J81" s="3"/>
      <c r="K81" s="5"/>
      <c r="L81" s="3"/>
      <c r="M81" s="3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6" customFormat="1" x14ac:dyDescent="0.25">
      <c r="A82" s="1"/>
      <c r="B82" s="2"/>
      <c r="C82" s="2"/>
      <c r="D82" s="542" t="s">
        <v>52</v>
      </c>
      <c r="E82" s="543"/>
      <c r="F82" s="194">
        <v>56.92</v>
      </c>
      <c r="G82" s="197">
        <f>8235</f>
        <v>8235</v>
      </c>
      <c r="H82" s="52" t="s">
        <v>54</v>
      </c>
      <c r="I82" s="57"/>
      <c r="J82" s="3"/>
      <c r="K82" s="5"/>
      <c r="L82" s="3"/>
      <c r="M82" s="3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6" customFormat="1" x14ac:dyDescent="0.25">
      <c r="A83" s="1"/>
      <c r="B83" s="2" t="s">
        <v>169</v>
      </c>
      <c r="C83" s="2"/>
      <c r="D83" s="544" t="s">
        <v>34</v>
      </c>
      <c r="E83" s="545"/>
      <c r="F83" s="195">
        <v>23.9</v>
      </c>
      <c r="G83" s="197">
        <f>D78</f>
        <v>8235.0000000000036</v>
      </c>
      <c r="H83" s="52" t="s">
        <v>60</v>
      </c>
      <c r="I83" s="57"/>
      <c r="J83" s="3"/>
      <c r="K83" s="5"/>
      <c r="L83" s="3"/>
      <c r="M83" s="3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6" customFormat="1" x14ac:dyDescent="0.25">
      <c r="A84" s="1"/>
      <c r="B84" s="2"/>
      <c r="C84" s="2"/>
      <c r="D84" s="544" t="s">
        <v>85</v>
      </c>
      <c r="E84" s="545"/>
      <c r="F84" s="194">
        <v>14.93</v>
      </c>
      <c r="G84" s="198">
        <f>G82-G83</f>
        <v>0</v>
      </c>
      <c r="H84" s="53" t="s">
        <v>50</v>
      </c>
      <c r="I84" s="3"/>
      <c r="J84" s="3"/>
      <c r="K84" s="5"/>
      <c r="L84" s="3"/>
      <c r="M84" s="3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6" customFormat="1" x14ac:dyDescent="0.25">
      <c r="A85" s="1"/>
      <c r="B85" s="2"/>
      <c r="C85" s="2"/>
      <c r="D85" s="533" t="s">
        <v>50</v>
      </c>
      <c r="E85" s="534"/>
      <c r="F85" s="196">
        <f>F82+F83+F84-F78</f>
        <v>0</v>
      </c>
      <c r="G85" s="84"/>
      <c r="H85" s="85"/>
      <c r="I85" s="3"/>
      <c r="J85" s="3"/>
      <c r="K85" s="5"/>
      <c r="L85" s="3"/>
      <c r="M85" s="3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</sheetData>
  <sheetProtection selectLockedCells="1" selectUnlockedCells="1"/>
  <mergeCells count="10">
    <mergeCell ref="R80:T80"/>
    <mergeCell ref="D82:E82"/>
    <mergeCell ref="D83:E83"/>
    <mergeCell ref="D84:E84"/>
    <mergeCell ref="I79:J79"/>
    <mergeCell ref="D85:E85"/>
    <mergeCell ref="A1:B1"/>
    <mergeCell ref="D3:E3"/>
    <mergeCell ref="F3:G3"/>
    <mergeCell ref="P80:Q80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>
    <oddHeader>&amp;CINTERGROUPE PARIS-BANLIEUE - IGPB
Trésorerie 2017&amp;R&amp;D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K78"/>
  <sheetViews>
    <sheetView showGridLines="0" topLeftCell="A34" zoomScale="84" zoomScaleNormal="84" workbookViewId="0">
      <selection activeCell="A26" sqref="A26:B26"/>
    </sheetView>
  </sheetViews>
  <sheetFormatPr baseColWidth="10" defaultRowHeight="12.5" x14ac:dyDescent="0.25"/>
  <cols>
    <col min="1" max="1" width="9.81640625" customWidth="1"/>
    <col min="2" max="2" width="40.5429687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75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f>'09 2022'!D84</f>
        <v>11896.480000000007</v>
      </c>
      <c r="E5" s="179"/>
      <c r="F5" s="180">
        <f>'09 2022'!F84</f>
        <v>60.700000000000045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11957.180000000008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170" customFormat="1" ht="12" customHeight="1" x14ac:dyDescent="0.25">
      <c r="A6" s="271">
        <v>44835</v>
      </c>
      <c r="B6" s="222" t="s">
        <v>363</v>
      </c>
      <c r="C6" s="272" t="s">
        <v>145</v>
      </c>
      <c r="D6" s="283">
        <v>100</v>
      </c>
      <c r="E6" s="223"/>
      <c r="F6" s="224"/>
      <c r="G6" s="284"/>
      <c r="H6" s="302"/>
      <c r="I6" s="225">
        <v>100</v>
      </c>
      <c r="J6" s="225"/>
      <c r="K6" s="226"/>
      <c r="L6" s="225"/>
      <c r="M6" s="225"/>
      <c r="N6" s="225"/>
      <c r="O6" s="303"/>
      <c r="P6" s="316"/>
      <c r="Q6" s="227"/>
      <c r="R6" s="227"/>
      <c r="S6" s="227"/>
      <c r="T6" s="227"/>
      <c r="U6" s="228"/>
      <c r="V6" s="227"/>
      <c r="W6" s="229"/>
      <c r="X6" s="227"/>
      <c r="Y6" s="227"/>
      <c r="Z6" s="227"/>
      <c r="AA6" s="317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527" customFormat="1" ht="12" customHeight="1" x14ac:dyDescent="0.25">
      <c r="A7" s="275">
        <v>44835</v>
      </c>
      <c r="B7" s="469" t="s">
        <v>623</v>
      </c>
      <c r="C7" s="276" t="s">
        <v>145</v>
      </c>
      <c r="D7" s="287">
        <v>52</v>
      </c>
      <c r="E7" s="220"/>
      <c r="F7" s="221"/>
      <c r="G7" s="288"/>
      <c r="H7" s="306"/>
      <c r="I7" s="183">
        <v>52</v>
      </c>
      <c r="J7" s="183"/>
      <c r="K7" s="184"/>
      <c r="L7" s="183"/>
      <c r="M7" s="183"/>
      <c r="N7" s="183"/>
      <c r="O7" s="470"/>
      <c r="P7" s="320"/>
      <c r="Q7" s="189"/>
      <c r="R7" s="189"/>
      <c r="S7" s="189"/>
      <c r="T7" s="189"/>
      <c r="U7" s="471"/>
      <c r="V7" s="189"/>
      <c r="W7" s="190"/>
      <c r="X7" s="189"/>
      <c r="Y7" s="189"/>
      <c r="Z7" s="189"/>
      <c r="AA7" s="321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527" customFormat="1" ht="12" customHeight="1" x14ac:dyDescent="0.25">
      <c r="A8" s="275">
        <v>44836</v>
      </c>
      <c r="B8" s="469" t="s">
        <v>624</v>
      </c>
      <c r="C8" s="276" t="s">
        <v>145</v>
      </c>
      <c r="D8" s="287">
        <v>70</v>
      </c>
      <c r="E8" s="220"/>
      <c r="F8" s="221"/>
      <c r="G8" s="288"/>
      <c r="H8" s="306"/>
      <c r="I8" s="183">
        <v>70</v>
      </c>
      <c r="J8" s="183"/>
      <c r="K8" s="184"/>
      <c r="L8" s="183"/>
      <c r="M8" s="183"/>
      <c r="N8" s="183"/>
      <c r="O8" s="470"/>
      <c r="P8" s="320"/>
      <c r="Q8" s="189"/>
      <c r="R8" s="189"/>
      <c r="S8" s="189"/>
      <c r="T8" s="189"/>
      <c r="U8" s="471"/>
      <c r="V8" s="189"/>
      <c r="W8" s="190"/>
      <c r="X8" s="189"/>
      <c r="Y8" s="189"/>
      <c r="Z8" s="189"/>
      <c r="AA8" s="321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527" customFormat="1" ht="12" customHeight="1" x14ac:dyDescent="0.25">
      <c r="A9" s="275">
        <v>44836</v>
      </c>
      <c r="B9" s="469" t="s">
        <v>346</v>
      </c>
      <c r="C9" s="276" t="s">
        <v>145</v>
      </c>
      <c r="D9" s="287">
        <v>75</v>
      </c>
      <c r="E9" s="220"/>
      <c r="F9" s="221"/>
      <c r="G9" s="288"/>
      <c r="H9" s="306"/>
      <c r="I9" s="183">
        <v>75</v>
      </c>
      <c r="J9" s="183"/>
      <c r="K9" s="184"/>
      <c r="L9" s="183"/>
      <c r="M9" s="183"/>
      <c r="N9" s="183"/>
      <c r="O9" s="470"/>
      <c r="P9" s="320"/>
      <c r="Q9" s="189"/>
      <c r="R9" s="189"/>
      <c r="S9" s="189"/>
      <c r="T9" s="189"/>
      <c r="U9" s="471"/>
      <c r="V9" s="189"/>
      <c r="W9" s="190"/>
      <c r="X9" s="189"/>
      <c r="Y9" s="189"/>
      <c r="Z9" s="189"/>
      <c r="AA9" s="321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527" customFormat="1" ht="12" customHeight="1" x14ac:dyDescent="0.25">
      <c r="A10" s="275">
        <v>44837</v>
      </c>
      <c r="B10" s="469" t="s">
        <v>625</v>
      </c>
      <c r="C10" s="276" t="s">
        <v>145</v>
      </c>
      <c r="D10" s="287">
        <v>96</v>
      </c>
      <c r="E10" s="220"/>
      <c r="F10" s="221"/>
      <c r="G10" s="288"/>
      <c r="H10" s="306"/>
      <c r="I10" s="183">
        <v>96</v>
      </c>
      <c r="J10" s="183"/>
      <c r="K10" s="184"/>
      <c r="L10" s="183"/>
      <c r="M10" s="183"/>
      <c r="N10" s="183"/>
      <c r="O10" s="470"/>
      <c r="P10" s="320"/>
      <c r="Q10" s="189"/>
      <c r="R10" s="189"/>
      <c r="S10" s="189"/>
      <c r="T10" s="189"/>
      <c r="U10" s="471"/>
      <c r="V10" s="189"/>
      <c r="W10" s="190"/>
      <c r="X10" s="189"/>
      <c r="Y10" s="189"/>
      <c r="Z10" s="189"/>
      <c r="AA10" s="321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170" customFormat="1" ht="12" customHeight="1" x14ac:dyDescent="0.25">
      <c r="A11" s="273">
        <v>44837</v>
      </c>
      <c r="B11" s="231" t="s">
        <v>138</v>
      </c>
      <c r="C11" s="274" t="s">
        <v>145</v>
      </c>
      <c r="D11" s="285"/>
      <c r="E11" s="218">
        <v>10.44</v>
      </c>
      <c r="F11" s="219"/>
      <c r="G11" s="286"/>
      <c r="H11" s="304"/>
      <c r="I11" s="185"/>
      <c r="J11" s="185"/>
      <c r="K11" s="186"/>
      <c r="L11" s="185"/>
      <c r="M11" s="185"/>
      <c r="N11" s="185"/>
      <c r="O11" s="305"/>
      <c r="P11" s="318"/>
      <c r="Q11" s="191"/>
      <c r="R11" s="191"/>
      <c r="S11" s="191"/>
      <c r="T11" s="191"/>
      <c r="U11" s="232"/>
      <c r="V11" s="191"/>
      <c r="W11" s="192">
        <v>10.44</v>
      </c>
      <c r="X11" s="191"/>
      <c r="Y11" s="191"/>
      <c r="Z11" s="191"/>
      <c r="AA11" s="319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527" customFormat="1" ht="12" customHeight="1" x14ac:dyDescent="0.25">
      <c r="A12" s="275">
        <v>44839</v>
      </c>
      <c r="B12" s="469" t="s">
        <v>306</v>
      </c>
      <c r="C12" s="276" t="s">
        <v>145</v>
      </c>
      <c r="D12" s="287">
        <v>52.38</v>
      </c>
      <c r="E12" s="220"/>
      <c r="F12" s="221"/>
      <c r="G12" s="288"/>
      <c r="H12" s="306"/>
      <c r="I12" s="183">
        <v>52.38</v>
      </c>
      <c r="J12" s="183"/>
      <c r="K12" s="184"/>
      <c r="L12" s="183"/>
      <c r="M12" s="183"/>
      <c r="N12" s="183"/>
      <c r="O12" s="470"/>
      <c r="P12" s="320"/>
      <c r="Q12" s="189"/>
      <c r="R12" s="189"/>
      <c r="S12" s="189"/>
      <c r="T12" s="189"/>
      <c r="U12" s="471"/>
      <c r="V12" s="189"/>
      <c r="W12" s="190"/>
      <c r="X12" s="189"/>
      <c r="Y12" s="189"/>
      <c r="Z12" s="189"/>
      <c r="AA12" s="321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170" customFormat="1" ht="12" customHeight="1" x14ac:dyDescent="0.25">
      <c r="A13" s="273">
        <v>44839</v>
      </c>
      <c r="B13" s="231" t="s">
        <v>146</v>
      </c>
      <c r="C13" s="274" t="s">
        <v>145</v>
      </c>
      <c r="D13" s="285"/>
      <c r="E13" s="218">
        <v>29.99</v>
      </c>
      <c r="F13" s="219"/>
      <c r="G13" s="286"/>
      <c r="H13" s="304"/>
      <c r="I13" s="185"/>
      <c r="J13" s="185"/>
      <c r="K13" s="186"/>
      <c r="L13" s="185"/>
      <c r="M13" s="185"/>
      <c r="N13" s="185"/>
      <c r="O13" s="305"/>
      <c r="P13" s="318"/>
      <c r="Q13" s="191"/>
      <c r="R13" s="191"/>
      <c r="S13" s="191"/>
      <c r="T13" s="191"/>
      <c r="U13" s="232"/>
      <c r="V13" s="191">
        <v>29.99</v>
      </c>
      <c r="W13" s="192"/>
      <c r="X13" s="191"/>
      <c r="Y13" s="191"/>
      <c r="Z13" s="191"/>
      <c r="AA13" s="319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527" customFormat="1" ht="12" customHeight="1" x14ac:dyDescent="0.25">
      <c r="A14" s="529">
        <v>44839</v>
      </c>
      <c r="B14" s="469" t="s">
        <v>635</v>
      </c>
      <c r="C14" s="276" t="s">
        <v>145</v>
      </c>
      <c r="D14" s="287"/>
      <c r="E14" s="220"/>
      <c r="F14" s="221">
        <v>21.45</v>
      </c>
      <c r="G14" s="288"/>
      <c r="H14" s="306">
        <v>21.45</v>
      </c>
      <c r="I14" s="183"/>
      <c r="J14" s="183"/>
      <c r="K14" s="184"/>
      <c r="L14" s="183"/>
      <c r="M14" s="183"/>
      <c r="N14" s="183"/>
      <c r="O14" s="470"/>
      <c r="P14" s="320"/>
      <c r="Q14" s="189"/>
      <c r="R14" s="189"/>
      <c r="S14" s="189"/>
      <c r="T14" s="189"/>
      <c r="U14" s="471"/>
      <c r="V14" s="189"/>
      <c r="W14" s="190"/>
      <c r="X14" s="189"/>
      <c r="Y14" s="189"/>
      <c r="Z14" s="189"/>
      <c r="AA14" s="321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527" customFormat="1" ht="12" customHeight="1" x14ac:dyDescent="0.25">
      <c r="A15" s="275">
        <v>44843</v>
      </c>
      <c r="B15" s="469" t="s">
        <v>626</v>
      </c>
      <c r="C15" s="276" t="s">
        <v>145</v>
      </c>
      <c r="D15" s="287"/>
      <c r="E15" s="220"/>
      <c r="F15" s="221"/>
      <c r="G15" s="288">
        <v>4.3</v>
      </c>
      <c r="H15" s="306"/>
      <c r="I15" s="183"/>
      <c r="J15" s="183"/>
      <c r="K15" s="184"/>
      <c r="L15" s="183"/>
      <c r="M15" s="183"/>
      <c r="N15" s="183"/>
      <c r="O15" s="470"/>
      <c r="P15" s="320"/>
      <c r="Q15" s="189"/>
      <c r="R15" s="189"/>
      <c r="S15" s="189">
        <v>4.3</v>
      </c>
      <c r="T15" s="189"/>
      <c r="U15" s="471"/>
      <c r="V15" s="189"/>
      <c r="W15" s="190"/>
      <c r="X15" s="189"/>
      <c r="Y15" s="189"/>
      <c r="Z15" s="189"/>
      <c r="AA15" s="321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170" customFormat="1" ht="12" customHeight="1" x14ac:dyDescent="0.25">
      <c r="A16" s="273">
        <v>44843</v>
      </c>
      <c r="B16" s="231" t="s">
        <v>627</v>
      </c>
      <c r="C16" s="274" t="s">
        <v>145</v>
      </c>
      <c r="D16" s="285">
        <v>30</v>
      </c>
      <c r="E16" s="218"/>
      <c r="F16" s="219"/>
      <c r="G16" s="286"/>
      <c r="H16" s="304"/>
      <c r="I16" s="185"/>
      <c r="J16" s="185"/>
      <c r="K16" s="186">
        <v>30</v>
      </c>
      <c r="L16" s="185"/>
      <c r="M16" s="185"/>
      <c r="N16" s="185"/>
      <c r="O16" s="305"/>
      <c r="P16" s="318"/>
      <c r="Q16" s="191"/>
      <c r="R16" s="191"/>
      <c r="S16" s="191"/>
      <c r="T16" s="191"/>
      <c r="U16" s="232"/>
      <c r="V16" s="191"/>
      <c r="W16" s="192"/>
      <c r="X16" s="191"/>
      <c r="Y16" s="191"/>
      <c r="Z16" s="191"/>
      <c r="AA16" s="319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527" customFormat="1" ht="12" customHeight="1" x14ac:dyDescent="0.25">
      <c r="A17" s="275">
        <v>44843</v>
      </c>
      <c r="B17" s="469" t="s">
        <v>628</v>
      </c>
      <c r="C17" s="276" t="s">
        <v>145</v>
      </c>
      <c r="D17" s="287"/>
      <c r="E17" s="220"/>
      <c r="F17" s="221">
        <v>2</v>
      </c>
      <c r="G17" s="288"/>
      <c r="H17" s="306"/>
      <c r="I17" s="183"/>
      <c r="J17" s="183"/>
      <c r="K17" s="184">
        <v>2</v>
      </c>
      <c r="L17" s="183"/>
      <c r="M17" s="183"/>
      <c r="N17" s="183"/>
      <c r="O17" s="470"/>
      <c r="P17" s="320"/>
      <c r="Q17" s="189"/>
      <c r="R17" s="189"/>
      <c r="S17" s="189"/>
      <c r="T17" s="189"/>
      <c r="U17" s="471"/>
      <c r="V17" s="189"/>
      <c r="W17" s="190"/>
      <c r="X17" s="189"/>
      <c r="Y17" s="189"/>
      <c r="Z17" s="189"/>
      <c r="AA17" s="321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170" customFormat="1" ht="12" customHeight="1" x14ac:dyDescent="0.25">
      <c r="A18" s="273">
        <v>44843</v>
      </c>
      <c r="B18" s="231" t="s">
        <v>629</v>
      </c>
      <c r="C18" s="274" t="s">
        <v>145</v>
      </c>
      <c r="D18" s="285">
        <v>47.5</v>
      </c>
      <c r="E18" s="218"/>
      <c r="F18" s="219"/>
      <c r="G18" s="286"/>
      <c r="H18" s="304"/>
      <c r="I18" s="185"/>
      <c r="J18" s="185"/>
      <c r="K18" s="186">
        <v>47.5</v>
      </c>
      <c r="L18" s="185"/>
      <c r="M18" s="185"/>
      <c r="N18" s="185"/>
      <c r="O18" s="305"/>
      <c r="P18" s="318"/>
      <c r="Q18" s="191"/>
      <c r="R18" s="191"/>
      <c r="S18" s="191"/>
      <c r="T18" s="191"/>
      <c r="U18" s="232"/>
      <c r="V18" s="191"/>
      <c r="W18" s="192"/>
      <c r="X18" s="191"/>
      <c r="Y18" s="191"/>
      <c r="Z18" s="191"/>
      <c r="AA18" s="319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170" customFormat="1" ht="12" customHeight="1" x14ac:dyDescent="0.25">
      <c r="A19" s="273">
        <v>44843</v>
      </c>
      <c r="B19" s="231" t="s">
        <v>630</v>
      </c>
      <c r="C19" s="274" t="s">
        <v>145</v>
      </c>
      <c r="D19" s="285">
        <v>20</v>
      </c>
      <c r="E19" s="218"/>
      <c r="F19" s="219"/>
      <c r="G19" s="286"/>
      <c r="H19" s="304"/>
      <c r="I19" s="185"/>
      <c r="J19" s="185"/>
      <c r="K19" s="186">
        <v>20</v>
      </c>
      <c r="L19" s="185"/>
      <c r="M19" s="185"/>
      <c r="N19" s="185"/>
      <c r="O19" s="305"/>
      <c r="P19" s="318"/>
      <c r="Q19" s="191"/>
      <c r="R19" s="191"/>
      <c r="S19" s="191"/>
      <c r="T19" s="191"/>
      <c r="U19" s="232"/>
      <c r="V19" s="191"/>
      <c r="W19" s="192"/>
      <c r="X19" s="191"/>
      <c r="Y19" s="191"/>
      <c r="Z19" s="191"/>
      <c r="AA19" s="319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527" customFormat="1" ht="12" customHeight="1" x14ac:dyDescent="0.25">
      <c r="A20" s="275">
        <v>44843</v>
      </c>
      <c r="B20" s="469" t="s">
        <v>631</v>
      </c>
      <c r="C20" s="276" t="s">
        <v>145</v>
      </c>
      <c r="D20" s="287"/>
      <c r="E20" s="220"/>
      <c r="F20" s="221">
        <v>18</v>
      </c>
      <c r="G20" s="288"/>
      <c r="H20" s="306"/>
      <c r="I20" s="183"/>
      <c r="J20" s="183"/>
      <c r="K20" s="184">
        <v>18</v>
      </c>
      <c r="L20" s="183"/>
      <c r="M20" s="183"/>
      <c r="N20" s="183"/>
      <c r="O20" s="470"/>
      <c r="P20" s="320"/>
      <c r="Q20" s="189"/>
      <c r="R20" s="189"/>
      <c r="S20" s="189"/>
      <c r="T20" s="189"/>
      <c r="U20" s="471"/>
      <c r="V20" s="189"/>
      <c r="W20" s="190"/>
      <c r="X20" s="189"/>
      <c r="Y20" s="189"/>
      <c r="Z20" s="189"/>
      <c r="AA20" s="321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170" customFormat="1" ht="12" customHeight="1" x14ac:dyDescent="0.25">
      <c r="A21" s="273">
        <v>44843</v>
      </c>
      <c r="B21" s="231" t="s">
        <v>631</v>
      </c>
      <c r="C21" s="274" t="s">
        <v>145</v>
      </c>
      <c r="D21" s="285"/>
      <c r="E21" s="218"/>
      <c r="F21" s="219">
        <v>2.5</v>
      </c>
      <c r="G21" s="286"/>
      <c r="H21" s="304"/>
      <c r="I21" s="185"/>
      <c r="J21" s="185"/>
      <c r="K21" s="186">
        <v>2.5</v>
      </c>
      <c r="L21" s="185"/>
      <c r="M21" s="185"/>
      <c r="N21" s="185"/>
      <c r="O21" s="305"/>
      <c r="P21" s="318"/>
      <c r="Q21" s="191"/>
      <c r="R21" s="191"/>
      <c r="S21" s="191"/>
      <c r="T21" s="191"/>
      <c r="U21" s="232"/>
      <c r="V21" s="191"/>
      <c r="W21" s="192"/>
      <c r="X21" s="191"/>
      <c r="Y21" s="191"/>
      <c r="Z21" s="191"/>
      <c r="AA21" s="319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170" customFormat="1" ht="12" customHeight="1" x14ac:dyDescent="0.25">
      <c r="A22" s="273">
        <v>44843</v>
      </c>
      <c r="B22" s="231" t="s">
        <v>632</v>
      </c>
      <c r="C22" s="274" t="s">
        <v>145</v>
      </c>
      <c r="D22" s="285"/>
      <c r="E22" s="218"/>
      <c r="F22" s="219">
        <v>8</v>
      </c>
      <c r="G22" s="286"/>
      <c r="H22" s="304"/>
      <c r="I22" s="185"/>
      <c r="J22" s="185"/>
      <c r="K22" s="186">
        <v>8</v>
      </c>
      <c r="L22" s="185"/>
      <c r="M22" s="185"/>
      <c r="N22" s="185"/>
      <c r="O22" s="305"/>
      <c r="P22" s="318"/>
      <c r="Q22" s="191"/>
      <c r="R22" s="191"/>
      <c r="S22" s="191"/>
      <c r="T22" s="191"/>
      <c r="U22" s="232"/>
      <c r="V22" s="191"/>
      <c r="W22" s="192"/>
      <c r="X22" s="191"/>
      <c r="Y22" s="191"/>
      <c r="Z22" s="191"/>
      <c r="AA22" s="319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527" customFormat="1" ht="12" customHeight="1" x14ac:dyDescent="0.25">
      <c r="A23" s="275">
        <v>44843</v>
      </c>
      <c r="B23" s="469" t="s">
        <v>633</v>
      </c>
      <c r="C23" s="276" t="s">
        <v>145</v>
      </c>
      <c r="D23" s="287"/>
      <c r="E23" s="220"/>
      <c r="F23" s="221">
        <v>9.5</v>
      </c>
      <c r="G23" s="288"/>
      <c r="H23" s="306"/>
      <c r="I23" s="183"/>
      <c r="J23" s="183"/>
      <c r="K23" s="184">
        <v>9.5</v>
      </c>
      <c r="L23" s="183"/>
      <c r="M23" s="183"/>
      <c r="N23" s="183"/>
      <c r="O23" s="470"/>
      <c r="P23" s="320"/>
      <c r="Q23" s="189"/>
      <c r="R23" s="189"/>
      <c r="S23" s="189"/>
      <c r="T23" s="189"/>
      <c r="U23" s="471"/>
      <c r="V23" s="189"/>
      <c r="W23" s="190"/>
      <c r="X23" s="189"/>
      <c r="Y23" s="189"/>
      <c r="Z23" s="189"/>
      <c r="AA23" s="321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170" customFormat="1" ht="12" customHeight="1" x14ac:dyDescent="0.25">
      <c r="A24" s="273">
        <v>44843</v>
      </c>
      <c r="B24" s="231" t="s">
        <v>634</v>
      </c>
      <c r="C24" s="274" t="s">
        <v>145</v>
      </c>
      <c r="D24" s="285"/>
      <c r="E24" s="218"/>
      <c r="F24" s="219">
        <v>16</v>
      </c>
      <c r="G24" s="286"/>
      <c r="H24" s="304"/>
      <c r="I24" s="185"/>
      <c r="J24" s="185"/>
      <c r="K24" s="186">
        <v>16</v>
      </c>
      <c r="L24" s="185"/>
      <c r="M24" s="185"/>
      <c r="N24" s="185"/>
      <c r="O24" s="305"/>
      <c r="P24" s="318"/>
      <c r="Q24" s="191"/>
      <c r="R24" s="191"/>
      <c r="S24" s="191"/>
      <c r="T24" s="191"/>
      <c r="U24" s="232"/>
      <c r="V24" s="191"/>
      <c r="W24" s="192"/>
      <c r="X24" s="191"/>
      <c r="Y24" s="191"/>
      <c r="Z24" s="191"/>
      <c r="AA24" s="319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170" customFormat="1" ht="12" customHeight="1" x14ac:dyDescent="0.25">
      <c r="A25" s="273">
        <v>44843</v>
      </c>
      <c r="B25" s="231" t="s">
        <v>426</v>
      </c>
      <c r="C25" s="274" t="s">
        <v>145</v>
      </c>
      <c r="D25" s="285">
        <v>50</v>
      </c>
      <c r="E25" s="218"/>
      <c r="F25" s="219"/>
      <c r="G25" s="286"/>
      <c r="H25" s="304"/>
      <c r="I25" s="185">
        <v>50</v>
      </c>
      <c r="J25" s="185"/>
      <c r="K25" s="186"/>
      <c r="L25" s="185"/>
      <c r="M25" s="185"/>
      <c r="N25" s="185"/>
      <c r="O25" s="305"/>
      <c r="P25" s="318"/>
      <c r="Q25" s="191"/>
      <c r="R25" s="191"/>
      <c r="S25" s="191"/>
      <c r="T25" s="191"/>
      <c r="U25" s="232"/>
      <c r="V25" s="191"/>
      <c r="W25" s="192"/>
      <c r="X25" s="191"/>
      <c r="Y25" s="191"/>
      <c r="Z25" s="191"/>
      <c r="AA25" s="319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170" customFormat="1" ht="12" customHeight="1" x14ac:dyDescent="0.25">
      <c r="A26" s="273">
        <v>44844</v>
      </c>
      <c r="B26" s="231" t="s">
        <v>621</v>
      </c>
      <c r="C26" s="274" t="s">
        <v>145</v>
      </c>
      <c r="D26" s="285"/>
      <c r="E26" s="218">
        <v>1507.5</v>
      </c>
      <c r="F26" s="219"/>
      <c r="G26" s="286"/>
      <c r="H26" s="304"/>
      <c r="I26" s="185"/>
      <c r="J26" s="185"/>
      <c r="K26" s="186"/>
      <c r="L26" s="185"/>
      <c r="M26" s="185"/>
      <c r="N26" s="185"/>
      <c r="O26" s="305"/>
      <c r="P26" s="318"/>
      <c r="Q26" s="191"/>
      <c r="R26" s="191"/>
      <c r="S26" s="191"/>
      <c r="T26" s="191"/>
      <c r="U26" s="232">
        <v>1507.5</v>
      </c>
      <c r="V26" s="191"/>
      <c r="W26" s="192"/>
      <c r="X26" s="191"/>
      <c r="Y26" s="191"/>
      <c r="Z26" s="191"/>
      <c r="AA26" s="319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527" customFormat="1" ht="12" customHeight="1" x14ac:dyDescent="0.25">
      <c r="A27" s="511">
        <v>44844</v>
      </c>
      <c r="B27" s="512" t="s">
        <v>552</v>
      </c>
      <c r="C27" s="513" t="s">
        <v>145</v>
      </c>
      <c r="D27" s="514"/>
      <c r="E27" s="515">
        <v>99.28</v>
      </c>
      <c r="F27" s="516"/>
      <c r="G27" s="517"/>
      <c r="H27" s="518"/>
      <c r="I27" s="519"/>
      <c r="J27" s="519"/>
      <c r="K27" s="520"/>
      <c r="L27" s="519"/>
      <c r="M27" s="519"/>
      <c r="N27" s="519"/>
      <c r="O27" s="521"/>
      <c r="P27" s="522">
        <v>99.28</v>
      </c>
      <c r="Q27" s="523"/>
      <c r="R27" s="523"/>
      <c r="S27" s="523"/>
      <c r="T27" s="523"/>
      <c r="U27" s="524"/>
      <c r="V27" s="523"/>
      <c r="W27" s="525"/>
      <c r="X27" s="523"/>
      <c r="Y27" s="523"/>
      <c r="Z27" s="523"/>
      <c r="AA27" s="526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527" customFormat="1" ht="12" customHeight="1" x14ac:dyDescent="0.25">
      <c r="A28" s="511">
        <v>44845</v>
      </c>
      <c r="B28" s="512" t="s">
        <v>298</v>
      </c>
      <c r="C28" s="513" t="s">
        <v>145</v>
      </c>
      <c r="D28" s="514">
        <v>50</v>
      </c>
      <c r="E28" s="515"/>
      <c r="F28" s="516"/>
      <c r="G28" s="517"/>
      <c r="H28" s="518"/>
      <c r="I28" s="519">
        <v>50</v>
      </c>
      <c r="J28" s="519"/>
      <c r="K28" s="520"/>
      <c r="L28" s="519"/>
      <c r="M28" s="519"/>
      <c r="N28" s="519"/>
      <c r="O28" s="521"/>
      <c r="P28" s="522"/>
      <c r="Q28" s="523"/>
      <c r="R28" s="523"/>
      <c r="S28" s="523"/>
      <c r="T28" s="523"/>
      <c r="U28" s="524"/>
      <c r="V28" s="523"/>
      <c r="W28" s="525"/>
      <c r="X28" s="523"/>
      <c r="Y28" s="523"/>
      <c r="Z28" s="523"/>
      <c r="AA28" s="526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527" customFormat="1" ht="12" customHeight="1" x14ac:dyDescent="0.25">
      <c r="A29" s="511">
        <v>44847</v>
      </c>
      <c r="B29" s="512" t="s">
        <v>636</v>
      </c>
      <c r="C29" s="513" t="s">
        <v>145</v>
      </c>
      <c r="D29" s="514">
        <v>60</v>
      </c>
      <c r="E29" s="515"/>
      <c r="F29" s="516"/>
      <c r="G29" s="517"/>
      <c r="H29" s="518"/>
      <c r="I29" s="519">
        <v>60</v>
      </c>
      <c r="J29" s="519"/>
      <c r="K29" s="520"/>
      <c r="L29" s="519"/>
      <c r="M29" s="519"/>
      <c r="N29" s="519"/>
      <c r="O29" s="521"/>
      <c r="P29" s="522"/>
      <c r="Q29" s="523"/>
      <c r="R29" s="523"/>
      <c r="S29" s="523"/>
      <c r="T29" s="523"/>
      <c r="U29" s="524"/>
      <c r="V29" s="523"/>
      <c r="W29" s="525"/>
      <c r="X29" s="523"/>
      <c r="Y29" s="523"/>
      <c r="Z29" s="523"/>
      <c r="AA29" s="526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527" customFormat="1" ht="12" customHeight="1" x14ac:dyDescent="0.25">
      <c r="A30" s="511">
        <v>44851</v>
      </c>
      <c r="B30" s="512" t="s">
        <v>270</v>
      </c>
      <c r="C30" s="513" t="s">
        <v>145</v>
      </c>
      <c r="D30" s="514">
        <v>50</v>
      </c>
      <c r="E30" s="515"/>
      <c r="F30" s="516"/>
      <c r="G30" s="517"/>
      <c r="H30" s="518"/>
      <c r="I30" s="519">
        <v>50</v>
      </c>
      <c r="J30" s="519"/>
      <c r="K30" s="520"/>
      <c r="L30" s="519"/>
      <c r="M30" s="519"/>
      <c r="N30" s="519"/>
      <c r="O30" s="521"/>
      <c r="P30" s="522"/>
      <c r="Q30" s="523"/>
      <c r="R30" s="523"/>
      <c r="S30" s="523"/>
      <c r="T30" s="523"/>
      <c r="U30" s="524"/>
      <c r="V30" s="523"/>
      <c r="W30" s="525"/>
      <c r="X30" s="523"/>
      <c r="Y30" s="523"/>
      <c r="Z30" s="523"/>
      <c r="AA30" s="526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527" customFormat="1" ht="12" customHeight="1" x14ac:dyDescent="0.25">
      <c r="A31" s="511">
        <v>44851</v>
      </c>
      <c r="B31" s="512" t="s">
        <v>322</v>
      </c>
      <c r="C31" s="513" t="s">
        <v>145</v>
      </c>
      <c r="D31" s="514">
        <v>150</v>
      </c>
      <c r="E31" s="515"/>
      <c r="F31" s="516"/>
      <c r="G31" s="517"/>
      <c r="H31" s="518"/>
      <c r="I31" s="519">
        <v>150</v>
      </c>
      <c r="J31" s="519"/>
      <c r="K31" s="520"/>
      <c r="L31" s="519"/>
      <c r="M31" s="519"/>
      <c r="N31" s="519"/>
      <c r="O31" s="521"/>
      <c r="P31" s="522"/>
      <c r="Q31" s="523"/>
      <c r="R31" s="523"/>
      <c r="S31" s="523"/>
      <c r="T31" s="523"/>
      <c r="U31" s="524"/>
      <c r="V31" s="523"/>
      <c r="W31" s="525"/>
      <c r="X31" s="523"/>
      <c r="Y31" s="523"/>
      <c r="Z31" s="523"/>
      <c r="AA31" s="526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170" customFormat="1" ht="12" customHeight="1" x14ac:dyDescent="0.25">
      <c r="A32" s="273">
        <v>44851</v>
      </c>
      <c r="B32" s="231" t="s">
        <v>637</v>
      </c>
      <c r="C32" s="274" t="s">
        <v>145</v>
      </c>
      <c r="D32" s="285">
        <v>43.6</v>
      </c>
      <c r="E32" s="218"/>
      <c r="F32" s="219"/>
      <c r="G32" s="286"/>
      <c r="H32" s="304"/>
      <c r="I32" s="185"/>
      <c r="J32" s="185"/>
      <c r="K32" s="186">
        <v>43.6</v>
      </c>
      <c r="L32" s="185"/>
      <c r="M32" s="185"/>
      <c r="N32" s="185"/>
      <c r="O32" s="305"/>
      <c r="P32" s="318"/>
      <c r="Q32" s="191"/>
      <c r="R32" s="191"/>
      <c r="S32" s="191"/>
      <c r="T32" s="191"/>
      <c r="U32" s="232"/>
      <c r="V32" s="191"/>
      <c r="W32" s="192"/>
      <c r="X32" s="191"/>
      <c r="Y32" s="191"/>
      <c r="Z32" s="191"/>
      <c r="AA32" s="319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527" customFormat="1" ht="12" customHeight="1" x14ac:dyDescent="0.25">
      <c r="A33" s="511">
        <v>44851</v>
      </c>
      <c r="B33" s="512" t="s">
        <v>638</v>
      </c>
      <c r="C33" s="513" t="s">
        <v>145</v>
      </c>
      <c r="D33" s="514">
        <v>42.5</v>
      </c>
      <c r="E33" s="515"/>
      <c r="F33" s="516"/>
      <c r="G33" s="517"/>
      <c r="H33" s="518"/>
      <c r="I33" s="519"/>
      <c r="J33" s="519"/>
      <c r="K33" s="520">
        <v>42.5</v>
      </c>
      <c r="L33" s="519"/>
      <c r="M33" s="519"/>
      <c r="N33" s="519"/>
      <c r="O33" s="521"/>
      <c r="P33" s="522"/>
      <c r="Q33" s="523"/>
      <c r="R33" s="523"/>
      <c r="S33" s="523"/>
      <c r="T33" s="523"/>
      <c r="U33" s="524"/>
      <c r="V33" s="523"/>
      <c r="W33" s="525"/>
      <c r="X33" s="523"/>
      <c r="Y33" s="523"/>
      <c r="Z33" s="523"/>
      <c r="AA33" s="526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527" customFormat="1" ht="12" customHeight="1" x14ac:dyDescent="0.25">
      <c r="A34" s="511">
        <v>44851</v>
      </c>
      <c r="B34" s="512" t="s">
        <v>639</v>
      </c>
      <c r="C34" s="513" t="s">
        <v>145</v>
      </c>
      <c r="D34" s="514"/>
      <c r="E34" s="515"/>
      <c r="F34" s="516">
        <v>5</v>
      </c>
      <c r="G34" s="517"/>
      <c r="H34" s="518"/>
      <c r="I34" s="519"/>
      <c r="J34" s="519"/>
      <c r="K34" s="520">
        <v>5</v>
      </c>
      <c r="L34" s="519"/>
      <c r="M34" s="519"/>
      <c r="N34" s="519"/>
      <c r="O34" s="521"/>
      <c r="P34" s="522"/>
      <c r="Q34" s="523"/>
      <c r="R34" s="523"/>
      <c r="S34" s="523"/>
      <c r="T34" s="523"/>
      <c r="U34" s="524"/>
      <c r="V34" s="523"/>
      <c r="W34" s="525"/>
      <c r="X34" s="523"/>
      <c r="Y34" s="523"/>
      <c r="Z34" s="523"/>
      <c r="AA34" s="526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527" customFormat="1" ht="12" customHeight="1" x14ac:dyDescent="0.25">
      <c r="A35" s="511">
        <v>44851</v>
      </c>
      <c r="B35" s="512" t="s">
        <v>640</v>
      </c>
      <c r="C35" s="513" t="s">
        <v>145</v>
      </c>
      <c r="D35" s="514"/>
      <c r="E35" s="515"/>
      <c r="F35" s="516">
        <v>54.5</v>
      </c>
      <c r="G35" s="517"/>
      <c r="H35" s="518"/>
      <c r="I35" s="519"/>
      <c r="J35" s="519"/>
      <c r="K35" s="520">
        <v>54.5</v>
      </c>
      <c r="L35" s="519"/>
      <c r="M35" s="519"/>
      <c r="N35" s="519"/>
      <c r="O35" s="521"/>
      <c r="P35" s="522"/>
      <c r="Q35" s="523"/>
      <c r="R35" s="523"/>
      <c r="S35" s="523"/>
      <c r="T35" s="523"/>
      <c r="U35" s="524"/>
      <c r="V35" s="523"/>
      <c r="W35" s="525"/>
      <c r="X35" s="523"/>
      <c r="Y35" s="523"/>
      <c r="Z35" s="523"/>
      <c r="AA35" s="526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527" customFormat="1" ht="12" customHeight="1" x14ac:dyDescent="0.25">
      <c r="A36" s="511">
        <v>44851</v>
      </c>
      <c r="B36" s="512" t="s">
        <v>639</v>
      </c>
      <c r="C36" s="513" t="s">
        <v>145</v>
      </c>
      <c r="D36" s="514"/>
      <c r="E36" s="515"/>
      <c r="F36" s="516">
        <v>34</v>
      </c>
      <c r="G36" s="517"/>
      <c r="H36" s="518"/>
      <c r="I36" s="519"/>
      <c r="J36" s="519"/>
      <c r="K36" s="520">
        <v>34</v>
      </c>
      <c r="L36" s="519"/>
      <c r="M36" s="519"/>
      <c r="N36" s="519"/>
      <c r="O36" s="521"/>
      <c r="P36" s="522"/>
      <c r="Q36" s="523"/>
      <c r="R36" s="523"/>
      <c r="S36" s="523"/>
      <c r="T36" s="523"/>
      <c r="U36" s="524"/>
      <c r="V36" s="523"/>
      <c r="W36" s="525"/>
      <c r="X36" s="523"/>
      <c r="Y36" s="523"/>
      <c r="Z36" s="523"/>
      <c r="AA36" s="526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170" customFormat="1" ht="12" customHeight="1" x14ac:dyDescent="0.25">
      <c r="A37" s="273">
        <v>44851</v>
      </c>
      <c r="B37" s="231" t="s">
        <v>641</v>
      </c>
      <c r="C37" s="274" t="s">
        <v>145</v>
      </c>
      <c r="D37" s="285"/>
      <c r="E37" s="218"/>
      <c r="F37" s="219">
        <v>22</v>
      </c>
      <c r="G37" s="286"/>
      <c r="H37" s="304"/>
      <c r="I37" s="185"/>
      <c r="J37" s="185"/>
      <c r="K37" s="186">
        <v>22</v>
      </c>
      <c r="L37" s="185"/>
      <c r="M37" s="185"/>
      <c r="N37" s="185"/>
      <c r="O37" s="305"/>
      <c r="P37" s="318"/>
      <c r="Q37" s="191"/>
      <c r="R37" s="191"/>
      <c r="S37" s="191"/>
      <c r="T37" s="191"/>
      <c r="U37" s="232"/>
      <c r="V37" s="191"/>
      <c r="W37" s="192"/>
      <c r="X37" s="191"/>
      <c r="Y37" s="191"/>
      <c r="Z37" s="191"/>
      <c r="AA37" s="319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527" customFormat="1" ht="12" customHeight="1" x14ac:dyDescent="0.25">
      <c r="A38" s="511">
        <v>44851</v>
      </c>
      <c r="B38" s="512" t="s">
        <v>642</v>
      </c>
      <c r="C38" s="513" t="s">
        <v>145</v>
      </c>
      <c r="D38" s="514"/>
      <c r="E38" s="515"/>
      <c r="F38" s="516">
        <v>27.5</v>
      </c>
      <c r="G38" s="517"/>
      <c r="H38" s="518"/>
      <c r="I38" s="519"/>
      <c r="J38" s="519"/>
      <c r="K38" s="520">
        <v>27.5</v>
      </c>
      <c r="L38" s="519"/>
      <c r="M38" s="519"/>
      <c r="N38" s="519"/>
      <c r="O38" s="521"/>
      <c r="P38" s="522"/>
      <c r="Q38" s="523"/>
      <c r="R38" s="523"/>
      <c r="S38" s="523"/>
      <c r="T38" s="523"/>
      <c r="U38" s="524"/>
      <c r="V38" s="523"/>
      <c r="W38" s="525"/>
      <c r="X38" s="523"/>
      <c r="Y38" s="523"/>
      <c r="Z38" s="523"/>
      <c r="AA38" s="526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527" customFormat="1" ht="12" customHeight="1" x14ac:dyDescent="0.25">
      <c r="A39" s="511">
        <v>44852</v>
      </c>
      <c r="B39" s="512" t="s">
        <v>449</v>
      </c>
      <c r="C39" s="513" t="s">
        <v>145</v>
      </c>
      <c r="D39" s="514">
        <v>600</v>
      </c>
      <c r="E39" s="515"/>
      <c r="F39" s="516"/>
      <c r="G39" s="517"/>
      <c r="H39" s="518"/>
      <c r="I39" s="519">
        <v>600</v>
      </c>
      <c r="J39" s="519"/>
      <c r="K39" s="520"/>
      <c r="L39" s="519"/>
      <c r="M39" s="519"/>
      <c r="N39" s="519"/>
      <c r="O39" s="521"/>
      <c r="P39" s="522"/>
      <c r="Q39" s="523"/>
      <c r="R39" s="523"/>
      <c r="S39" s="523"/>
      <c r="T39" s="523"/>
      <c r="U39" s="524"/>
      <c r="V39" s="523"/>
      <c r="W39" s="525"/>
      <c r="X39" s="523"/>
      <c r="Y39" s="523"/>
      <c r="Z39" s="523"/>
      <c r="AA39" s="526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527" customFormat="1" ht="12" customHeight="1" x14ac:dyDescent="0.25">
      <c r="A40" s="511">
        <v>44857</v>
      </c>
      <c r="B40" s="512" t="s">
        <v>646</v>
      </c>
      <c r="C40" s="513" t="s">
        <v>145</v>
      </c>
      <c r="D40" s="514"/>
      <c r="E40" s="515"/>
      <c r="F40" s="516">
        <v>7.5</v>
      </c>
      <c r="G40" s="517"/>
      <c r="H40" s="518"/>
      <c r="I40" s="519"/>
      <c r="J40" s="519"/>
      <c r="K40" s="520">
        <v>7.5</v>
      </c>
      <c r="L40" s="519"/>
      <c r="M40" s="519"/>
      <c r="N40" s="519"/>
      <c r="O40" s="521"/>
      <c r="P40" s="522"/>
      <c r="Q40" s="523"/>
      <c r="R40" s="523"/>
      <c r="S40" s="523"/>
      <c r="T40" s="523"/>
      <c r="U40" s="524"/>
      <c r="V40" s="523"/>
      <c r="W40" s="525"/>
      <c r="X40" s="523"/>
      <c r="Y40" s="523"/>
      <c r="Z40" s="523"/>
      <c r="AA40" s="526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527" customFormat="1" ht="12" customHeight="1" x14ac:dyDescent="0.25">
      <c r="A41" s="511">
        <v>44857</v>
      </c>
      <c r="B41" s="512" t="s">
        <v>647</v>
      </c>
      <c r="C41" s="513" t="s">
        <v>145</v>
      </c>
      <c r="D41" s="514">
        <v>34</v>
      </c>
      <c r="E41" s="515"/>
      <c r="F41" s="516"/>
      <c r="G41" s="517"/>
      <c r="H41" s="518"/>
      <c r="I41" s="519"/>
      <c r="J41" s="519"/>
      <c r="K41" s="520">
        <v>34</v>
      </c>
      <c r="L41" s="519"/>
      <c r="M41" s="519"/>
      <c r="N41" s="519"/>
      <c r="O41" s="521"/>
      <c r="P41" s="522"/>
      <c r="Q41" s="523"/>
      <c r="R41" s="523"/>
      <c r="S41" s="523"/>
      <c r="T41" s="523"/>
      <c r="U41" s="524"/>
      <c r="V41" s="523"/>
      <c r="W41" s="525"/>
      <c r="X41" s="523"/>
      <c r="Y41" s="523"/>
      <c r="Z41" s="523"/>
      <c r="AA41" s="526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44857</v>
      </c>
      <c r="B42" s="231" t="s">
        <v>648</v>
      </c>
      <c r="C42" s="274" t="s">
        <v>145</v>
      </c>
      <c r="D42" s="285"/>
      <c r="E42" s="218"/>
      <c r="F42" s="219">
        <v>10.5</v>
      </c>
      <c r="G42" s="286"/>
      <c r="H42" s="304"/>
      <c r="I42" s="185"/>
      <c r="J42" s="185"/>
      <c r="K42" s="186">
        <v>10.5</v>
      </c>
      <c r="L42" s="185"/>
      <c r="M42" s="185"/>
      <c r="N42" s="185"/>
      <c r="O42" s="305"/>
      <c r="P42" s="318"/>
      <c r="Q42" s="191"/>
      <c r="R42" s="191"/>
      <c r="S42" s="191"/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527" customFormat="1" ht="12" customHeight="1" x14ac:dyDescent="0.25">
      <c r="A43" s="511">
        <v>44857</v>
      </c>
      <c r="B43" s="512" t="s">
        <v>649</v>
      </c>
      <c r="C43" s="513" t="s">
        <v>145</v>
      </c>
      <c r="D43" s="514"/>
      <c r="E43" s="515"/>
      <c r="F43" s="516">
        <v>50</v>
      </c>
      <c r="G43" s="517"/>
      <c r="H43" s="518"/>
      <c r="I43" s="519"/>
      <c r="J43" s="519"/>
      <c r="K43" s="520">
        <v>50</v>
      </c>
      <c r="L43" s="519"/>
      <c r="M43" s="519"/>
      <c r="N43" s="519"/>
      <c r="O43" s="521"/>
      <c r="P43" s="522"/>
      <c r="Q43" s="523"/>
      <c r="R43" s="523"/>
      <c r="S43" s="523"/>
      <c r="T43" s="523"/>
      <c r="U43" s="524"/>
      <c r="V43" s="523"/>
      <c r="W43" s="525"/>
      <c r="X43" s="523"/>
      <c r="Y43" s="523"/>
      <c r="Z43" s="523"/>
      <c r="AA43" s="526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527" customFormat="1" ht="12" customHeight="1" x14ac:dyDescent="0.25">
      <c r="A44" s="511">
        <v>44857</v>
      </c>
      <c r="B44" s="512" t="s">
        <v>650</v>
      </c>
      <c r="C44" s="513" t="s">
        <v>145</v>
      </c>
      <c r="D44" s="514">
        <v>16</v>
      </c>
      <c r="E44" s="515"/>
      <c r="F44" s="516"/>
      <c r="G44" s="517"/>
      <c r="H44" s="518"/>
      <c r="I44" s="519"/>
      <c r="J44" s="519"/>
      <c r="K44" s="520">
        <v>16</v>
      </c>
      <c r="L44" s="519"/>
      <c r="M44" s="519"/>
      <c r="N44" s="519"/>
      <c r="O44" s="521"/>
      <c r="P44" s="522"/>
      <c r="Q44" s="523"/>
      <c r="R44" s="523"/>
      <c r="S44" s="523"/>
      <c r="T44" s="523"/>
      <c r="U44" s="524"/>
      <c r="V44" s="523"/>
      <c r="W44" s="525"/>
      <c r="X44" s="523"/>
      <c r="Y44" s="523"/>
      <c r="Z44" s="523"/>
      <c r="AA44" s="526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170" customFormat="1" ht="12" customHeight="1" x14ac:dyDescent="0.25">
      <c r="A45" s="273">
        <v>44857</v>
      </c>
      <c r="B45" s="231" t="s">
        <v>651</v>
      </c>
      <c r="C45" s="274" t="s">
        <v>145</v>
      </c>
      <c r="D45" s="285"/>
      <c r="E45" s="218"/>
      <c r="F45" s="219">
        <v>32</v>
      </c>
      <c r="G45" s="286"/>
      <c r="H45" s="304"/>
      <c r="I45" s="185"/>
      <c r="J45" s="185"/>
      <c r="K45" s="186">
        <v>32</v>
      </c>
      <c r="L45" s="185"/>
      <c r="M45" s="185"/>
      <c r="N45" s="185"/>
      <c r="O45" s="305"/>
      <c r="P45" s="318"/>
      <c r="Q45" s="191"/>
      <c r="R45" s="191"/>
      <c r="S45" s="191"/>
      <c r="T45" s="191"/>
      <c r="U45" s="232"/>
      <c r="V45" s="191"/>
      <c r="W45" s="192"/>
      <c r="X45" s="191"/>
      <c r="Y45" s="191"/>
      <c r="Z45" s="191"/>
      <c r="AA45" s="319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170" customFormat="1" ht="12" customHeight="1" x14ac:dyDescent="0.25">
      <c r="A46" s="273">
        <v>44857</v>
      </c>
      <c r="B46" s="231" t="s">
        <v>652</v>
      </c>
      <c r="C46" s="274" t="s">
        <v>145</v>
      </c>
      <c r="D46" s="285"/>
      <c r="E46" s="218"/>
      <c r="F46" s="219">
        <v>40</v>
      </c>
      <c r="G46" s="286"/>
      <c r="H46" s="304"/>
      <c r="I46" s="185"/>
      <c r="J46" s="185"/>
      <c r="K46" s="186">
        <v>40</v>
      </c>
      <c r="L46" s="185"/>
      <c r="M46" s="185"/>
      <c r="N46" s="185"/>
      <c r="O46" s="305"/>
      <c r="P46" s="318"/>
      <c r="Q46" s="191"/>
      <c r="R46" s="191"/>
      <c r="S46" s="191"/>
      <c r="T46" s="191"/>
      <c r="U46" s="232"/>
      <c r="V46" s="191"/>
      <c r="W46" s="192"/>
      <c r="X46" s="191"/>
      <c r="Y46" s="191"/>
      <c r="Z46" s="191"/>
      <c r="AA46" s="319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527" customFormat="1" ht="12" customHeight="1" x14ac:dyDescent="0.25">
      <c r="A47" s="511">
        <v>44857</v>
      </c>
      <c r="B47" s="512" t="s">
        <v>660</v>
      </c>
      <c r="C47" s="513" t="s">
        <v>145</v>
      </c>
      <c r="D47" s="514"/>
      <c r="E47" s="515"/>
      <c r="F47" s="516"/>
      <c r="G47" s="517">
        <v>14.92</v>
      </c>
      <c r="H47" s="518"/>
      <c r="I47" s="519"/>
      <c r="J47" s="519"/>
      <c r="K47" s="520"/>
      <c r="L47" s="519"/>
      <c r="M47" s="519"/>
      <c r="N47" s="519"/>
      <c r="O47" s="521"/>
      <c r="P47" s="522"/>
      <c r="Q47" s="523">
        <v>14.92</v>
      </c>
      <c r="R47" s="523"/>
      <c r="S47" s="523"/>
      <c r="T47" s="523"/>
      <c r="U47" s="524"/>
      <c r="V47" s="523"/>
      <c r="W47" s="525"/>
      <c r="X47" s="523"/>
      <c r="Y47" s="523"/>
      <c r="Z47" s="523"/>
      <c r="AA47" s="526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527" customFormat="1" ht="12" customHeight="1" x14ac:dyDescent="0.25">
      <c r="A48" s="511">
        <v>44860</v>
      </c>
      <c r="B48" s="512" t="s">
        <v>643</v>
      </c>
      <c r="C48" s="513" t="s">
        <v>145</v>
      </c>
      <c r="D48" s="514"/>
      <c r="E48" s="515">
        <v>60.08</v>
      </c>
      <c r="F48" s="516"/>
      <c r="G48" s="517"/>
      <c r="H48" s="518"/>
      <c r="I48" s="519"/>
      <c r="J48" s="519"/>
      <c r="K48" s="520"/>
      <c r="L48" s="519"/>
      <c r="M48" s="519"/>
      <c r="N48" s="519"/>
      <c r="O48" s="521"/>
      <c r="P48" s="522"/>
      <c r="Q48" s="523">
        <v>60.08</v>
      </c>
      <c r="R48" s="523"/>
      <c r="S48" s="523"/>
      <c r="T48" s="523"/>
      <c r="U48" s="524">
        <v>422.49</v>
      </c>
      <c r="V48" s="523"/>
      <c r="W48" s="525"/>
      <c r="X48" s="523"/>
      <c r="Y48" s="523"/>
      <c r="Z48" s="523"/>
      <c r="AA48" s="526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527" customFormat="1" ht="12" customHeight="1" x14ac:dyDescent="0.25">
      <c r="A49" s="511">
        <v>44860</v>
      </c>
      <c r="B49" s="512" t="s">
        <v>645</v>
      </c>
      <c r="C49" s="513" t="s">
        <v>145</v>
      </c>
      <c r="D49" s="514"/>
      <c r="E49" s="515">
        <v>422.49</v>
      </c>
      <c r="F49" s="516"/>
      <c r="G49" s="517"/>
      <c r="H49" s="518"/>
      <c r="I49" s="519"/>
      <c r="J49" s="519"/>
      <c r="K49" s="520"/>
      <c r="L49" s="519"/>
      <c r="M49" s="519"/>
      <c r="N49" s="519"/>
      <c r="O49" s="521"/>
      <c r="P49" s="522"/>
      <c r="Q49" s="523"/>
      <c r="R49" s="523"/>
      <c r="S49" s="523"/>
      <c r="T49" s="523"/>
      <c r="U49" s="524"/>
      <c r="V49" s="523"/>
      <c r="W49" s="525"/>
      <c r="X49" s="523"/>
      <c r="Y49" s="523"/>
      <c r="Z49" s="523"/>
      <c r="AA49" s="526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44862</v>
      </c>
      <c r="B50" s="231" t="s">
        <v>208</v>
      </c>
      <c r="C50" s="274" t="s">
        <v>145</v>
      </c>
      <c r="D50" s="285"/>
      <c r="E50" s="218">
        <v>172.8</v>
      </c>
      <c r="F50" s="219"/>
      <c r="G50" s="286"/>
      <c r="H50" s="304"/>
      <c r="I50" s="185"/>
      <c r="J50" s="185"/>
      <c r="K50" s="186"/>
      <c r="L50" s="185"/>
      <c r="M50" s="185"/>
      <c r="N50" s="185"/>
      <c r="O50" s="305"/>
      <c r="P50" s="318"/>
      <c r="Q50" s="191"/>
      <c r="R50" s="191"/>
      <c r="S50" s="191"/>
      <c r="T50" s="191"/>
      <c r="U50" s="232"/>
      <c r="V50" s="191">
        <v>172.8</v>
      </c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527" customFormat="1" ht="12" customHeight="1" x14ac:dyDescent="0.25">
      <c r="A51" s="511">
        <v>44863</v>
      </c>
      <c r="B51" s="512" t="s">
        <v>623</v>
      </c>
      <c r="C51" s="513" t="s">
        <v>145</v>
      </c>
      <c r="D51" s="514">
        <v>21</v>
      </c>
      <c r="E51" s="515"/>
      <c r="F51" s="516"/>
      <c r="G51" s="517"/>
      <c r="H51" s="518"/>
      <c r="I51" s="519">
        <v>21</v>
      </c>
      <c r="J51" s="519"/>
      <c r="K51" s="520"/>
      <c r="L51" s="519"/>
      <c r="M51" s="519"/>
      <c r="N51" s="519"/>
      <c r="O51" s="521"/>
      <c r="P51" s="522"/>
      <c r="Q51" s="523"/>
      <c r="R51" s="523"/>
      <c r="S51" s="523"/>
      <c r="T51" s="523"/>
      <c r="U51" s="524"/>
      <c r="V51" s="523"/>
      <c r="W51" s="525"/>
      <c r="X51" s="523"/>
      <c r="Y51" s="523"/>
      <c r="Z51" s="523"/>
      <c r="AA51" s="526"/>
      <c r="AB51" s="168"/>
      <c r="AC51" s="168"/>
      <c r="AD51" s="168"/>
      <c r="AE51" s="168"/>
      <c r="AF51" s="168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</row>
    <row r="52" spans="1:115" s="527" customFormat="1" ht="12" customHeight="1" x14ac:dyDescent="0.25">
      <c r="A52" s="511">
        <v>44863</v>
      </c>
      <c r="B52" s="512" t="s">
        <v>654</v>
      </c>
      <c r="C52" s="513" t="s">
        <v>145</v>
      </c>
      <c r="D52" s="514">
        <v>23</v>
      </c>
      <c r="E52" s="515"/>
      <c r="F52" s="516"/>
      <c r="G52" s="517"/>
      <c r="H52" s="518"/>
      <c r="I52" s="519"/>
      <c r="J52" s="519"/>
      <c r="K52" s="520">
        <v>23</v>
      </c>
      <c r="L52" s="519"/>
      <c r="M52" s="519"/>
      <c r="N52" s="519"/>
      <c r="O52" s="521"/>
      <c r="P52" s="522"/>
      <c r="Q52" s="523"/>
      <c r="R52" s="523"/>
      <c r="S52" s="523"/>
      <c r="T52" s="523"/>
      <c r="U52" s="524"/>
      <c r="V52" s="523"/>
      <c r="W52" s="525"/>
      <c r="X52" s="523"/>
      <c r="Y52" s="523"/>
      <c r="Z52" s="523"/>
      <c r="AA52" s="526"/>
      <c r="AB52" s="168"/>
      <c r="AC52" s="168"/>
      <c r="AD52" s="168"/>
      <c r="AE52" s="168"/>
      <c r="AF52" s="168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</row>
    <row r="53" spans="1:115" s="170" customFormat="1" ht="12" customHeight="1" x14ac:dyDescent="0.25">
      <c r="A53" s="273">
        <v>44863</v>
      </c>
      <c r="B53" s="231" t="s">
        <v>655</v>
      </c>
      <c r="C53" s="274" t="s">
        <v>145</v>
      </c>
      <c r="D53" s="285"/>
      <c r="E53" s="218"/>
      <c r="F53" s="219">
        <v>63</v>
      </c>
      <c r="G53" s="286"/>
      <c r="H53" s="304"/>
      <c r="I53" s="185"/>
      <c r="J53" s="185"/>
      <c r="K53" s="186">
        <v>63</v>
      </c>
      <c r="L53" s="185"/>
      <c r="M53" s="185"/>
      <c r="N53" s="185"/>
      <c r="O53" s="305"/>
      <c r="P53" s="318"/>
      <c r="Q53" s="191"/>
      <c r="R53" s="191"/>
      <c r="S53" s="191"/>
      <c r="T53" s="191"/>
      <c r="U53" s="232"/>
      <c r="V53" s="191"/>
      <c r="W53" s="192"/>
      <c r="X53" s="191"/>
      <c r="Y53" s="191"/>
      <c r="Z53" s="191"/>
      <c r="AA53" s="319"/>
      <c r="AB53" s="168"/>
      <c r="AC53" s="168"/>
      <c r="AD53" s="168"/>
      <c r="AE53" s="168"/>
      <c r="AF53" s="168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</row>
    <row r="54" spans="1:115" s="527" customFormat="1" ht="12" customHeight="1" x14ac:dyDescent="0.25">
      <c r="A54" s="511">
        <v>44863</v>
      </c>
      <c r="B54" s="512" t="s">
        <v>656</v>
      </c>
      <c r="C54" s="513" t="s">
        <v>145</v>
      </c>
      <c r="D54" s="514"/>
      <c r="E54" s="515"/>
      <c r="F54" s="516">
        <v>107</v>
      </c>
      <c r="G54" s="517"/>
      <c r="H54" s="518"/>
      <c r="I54" s="519"/>
      <c r="J54" s="519"/>
      <c r="K54" s="520">
        <v>107</v>
      </c>
      <c r="L54" s="519"/>
      <c r="M54" s="519"/>
      <c r="N54" s="519"/>
      <c r="O54" s="521"/>
      <c r="P54" s="522"/>
      <c r="Q54" s="523"/>
      <c r="R54" s="523"/>
      <c r="S54" s="523"/>
      <c r="T54" s="523"/>
      <c r="U54" s="524"/>
      <c r="V54" s="523"/>
      <c r="W54" s="525"/>
      <c r="X54" s="523"/>
      <c r="Y54" s="523"/>
      <c r="Z54" s="523"/>
      <c r="AA54" s="526"/>
      <c r="AB54" s="168"/>
      <c r="AC54" s="168"/>
      <c r="AD54" s="168"/>
      <c r="AE54" s="168"/>
      <c r="AF54" s="168"/>
      <c r="AG54" s="168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</row>
    <row r="55" spans="1:115" s="527" customFormat="1" ht="12" customHeight="1" x14ac:dyDescent="0.25">
      <c r="A55" s="511">
        <v>44863</v>
      </c>
      <c r="B55" s="512" t="s">
        <v>653</v>
      </c>
      <c r="C55" s="513" t="s">
        <v>145</v>
      </c>
      <c r="D55" s="514"/>
      <c r="E55" s="515"/>
      <c r="F55" s="516">
        <v>22</v>
      </c>
      <c r="G55" s="517"/>
      <c r="H55" s="518"/>
      <c r="I55" s="519"/>
      <c r="J55" s="519"/>
      <c r="K55" s="520">
        <v>22</v>
      </c>
      <c r="L55" s="519"/>
      <c r="M55" s="519"/>
      <c r="N55" s="519"/>
      <c r="O55" s="521"/>
      <c r="P55" s="522"/>
      <c r="Q55" s="523"/>
      <c r="R55" s="523"/>
      <c r="S55" s="523"/>
      <c r="T55" s="523"/>
      <c r="U55" s="524"/>
      <c r="V55" s="523"/>
      <c r="W55" s="525"/>
      <c r="X55" s="523"/>
      <c r="Y55" s="523"/>
      <c r="Z55" s="523"/>
      <c r="AA55" s="526"/>
      <c r="AB55" s="168"/>
      <c r="AC55" s="168"/>
      <c r="AD55" s="168"/>
      <c r="AE55" s="168"/>
      <c r="AF55" s="168"/>
      <c r="AG55" s="168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</row>
    <row r="56" spans="1:115" s="170" customFormat="1" ht="12" customHeight="1" x14ac:dyDescent="0.25">
      <c r="A56" s="273">
        <v>44863</v>
      </c>
      <c r="B56" s="231" t="s">
        <v>653</v>
      </c>
      <c r="C56" s="274" t="s">
        <v>145</v>
      </c>
      <c r="D56" s="285"/>
      <c r="E56" s="218"/>
      <c r="F56" s="219">
        <v>20</v>
      </c>
      <c r="G56" s="286"/>
      <c r="H56" s="304"/>
      <c r="I56" s="185"/>
      <c r="J56" s="185"/>
      <c r="K56" s="186">
        <v>20</v>
      </c>
      <c r="L56" s="185"/>
      <c r="M56" s="185"/>
      <c r="N56" s="185"/>
      <c r="O56" s="305"/>
      <c r="P56" s="318"/>
      <c r="Q56" s="191"/>
      <c r="R56" s="191"/>
      <c r="S56" s="191"/>
      <c r="T56" s="191"/>
      <c r="U56" s="232"/>
      <c r="V56" s="191"/>
      <c r="W56" s="192"/>
      <c r="X56" s="191"/>
      <c r="Y56" s="191"/>
      <c r="Z56" s="191"/>
      <c r="AA56" s="319"/>
      <c r="AB56" s="168"/>
      <c r="AC56" s="168"/>
      <c r="AD56" s="168"/>
      <c r="AE56" s="168"/>
      <c r="AF56" s="168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</row>
    <row r="57" spans="1:115" s="527" customFormat="1" ht="12" customHeight="1" x14ac:dyDescent="0.25">
      <c r="A57" s="511">
        <v>44863</v>
      </c>
      <c r="B57" s="512" t="s">
        <v>657</v>
      </c>
      <c r="C57" s="513" t="s">
        <v>145</v>
      </c>
      <c r="D57" s="514"/>
      <c r="E57" s="515"/>
      <c r="F57" s="516">
        <v>8</v>
      </c>
      <c r="G57" s="517"/>
      <c r="H57" s="518"/>
      <c r="I57" s="519"/>
      <c r="J57" s="519"/>
      <c r="K57" s="520">
        <v>8</v>
      </c>
      <c r="L57" s="519"/>
      <c r="M57" s="519"/>
      <c r="N57" s="519"/>
      <c r="O57" s="521"/>
      <c r="P57" s="522"/>
      <c r="Q57" s="523"/>
      <c r="R57" s="523"/>
      <c r="S57" s="523"/>
      <c r="T57" s="523"/>
      <c r="U57" s="524"/>
      <c r="V57" s="523"/>
      <c r="W57" s="525"/>
      <c r="X57" s="523"/>
      <c r="Y57" s="523"/>
      <c r="Z57" s="523"/>
      <c r="AA57" s="526"/>
      <c r="AB57" s="168"/>
      <c r="AC57" s="168"/>
      <c r="AD57" s="168"/>
      <c r="AE57" s="168"/>
      <c r="AF57" s="168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</row>
    <row r="58" spans="1:115" s="527" customFormat="1" ht="12" customHeight="1" x14ac:dyDescent="0.25">
      <c r="A58" s="511">
        <v>44863</v>
      </c>
      <c r="B58" s="512" t="s">
        <v>658</v>
      </c>
      <c r="C58" s="513" t="s">
        <v>145</v>
      </c>
      <c r="D58" s="514"/>
      <c r="E58" s="515"/>
      <c r="F58" s="516">
        <v>23.5</v>
      </c>
      <c r="G58" s="517"/>
      <c r="H58" s="518"/>
      <c r="I58" s="519"/>
      <c r="J58" s="519"/>
      <c r="K58" s="520">
        <v>23.5</v>
      </c>
      <c r="L58" s="519"/>
      <c r="M58" s="519"/>
      <c r="N58" s="519"/>
      <c r="O58" s="521"/>
      <c r="P58" s="522"/>
      <c r="Q58" s="523"/>
      <c r="R58" s="523"/>
      <c r="S58" s="523"/>
      <c r="T58" s="523"/>
      <c r="U58" s="524"/>
      <c r="V58" s="523"/>
      <c r="W58" s="525"/>
      <c r="X58" s="523"/>
      <c r="Y58" s="523"/>
      <c r="Z58" s="523"/>
      <c r="AA58" s="526"/>
      <c r="AB58" s="168"/>
      <c r="AC58" s="168"/>
      <c r="AD58" s="168"/>
      <c r="AE58" s="168"/>
      <c r="AF58" s="168"/>
      <c r="AG58" s="168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</row>
    <row r="59" spans="1:115" s="170" customFormat="1" ht="12" customHeight="1" x14ac:dyDescent="0.25">
      <c r="A59" s="273">
        <v>44863</v>
      </c>
      <c r="B59" s="231" t="s">
        <v>659</v>
      </c>
      <c r="C59" s="274" t="s">
        <v>145</v>
      </c>
      <c r="D59" s="285"/>
      <c r="E59" s="218"/>
      <c r="F59" s="219">
        <v>42</v>
      </c>
      <c r="G59" s="286"/>
      <c r="H59" s="304"/>
      <c r="I59" s="185"/>
      <c r="J59" s="185"/>
      <c r="K59" s="186">
        <v>42</v>
      </c>
      <c r="L59" s="185"/>
      <c r="M59" s="185"/>
      <c r="N59" s="185"/>
      <c r="O59" s="305"/>
      <c r="P59" s="318"/>
      <c r="Q59" s="191"/>
      <c r="R59" s="191"/>
      <c r="S59" s="191"/>
      <c r="T59" s="191"/>
      <c r="U59" s="232"/>
      <c r="V59" s="191"/>
      <c r="W59" s="192"/>
      <c r="X59" s="191"/>
      <c r="Y59" s="191"/>
      <c r="Z59" s="191"/>
      <c r="AA59" s="319"/>
      <c r="AB59" s="168"/>
      <c r="AC59" s="168"/>
      <c r="AD59" s="168"/>
      <c r="AE59" s="168"/>
      <c r="AF59" s="168"/>
      <c r="AG59" s="168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</row>
    <row r="60" spans="1:115" s="527" customFormat="1" ht="12" customHeight="1" x14ac:dyDescent="0.25">
      <c r="A60" s="511">
        <v>44864</v>
      </c>
      <c r="B60" s="512" t="s">
        <v>596</v>
      </c>
      <c r="C60" s="513" t="s">
        <v>145</v>
      </c>
      <c r="D60" s="514">
        <v>47</v>
      </c>
      <c r="E60" s="515"/>
      <c r="F60" s="516"/>
      <c r="G60" s="517"/>
      <c r="H60" s="518"/>
      <c r="I60" s="519">
        <v>47</v>
      </c>
      <c r="J60" s="519"/>
      <c r="K60" s="520"/>
      <c r="L60" s="519"/>
      <c r="M60" s="519"/>
      <c r="N60" s="519"/>
      <c r="O60" s="521"/>
      <c r="P60" s="522"/>
      <c r="Q60" s="523"/>
      <c r="R60" s="523"/>
      <c r="S60" s="523"/>
      <c r="T60" s="523"/>
      <c r="U60" s="524"/>
      <c r="V60" s="523"/>
      <c r="W60" s="525"/>
      <c r="X60" s="523"/>
      <c r="Y60" s="523"/>
      <c r="Z60" s="523"/>
      <c r="AA60" s="526"/>
      <c r="AB60" s="168"/>
      <c r="AC60" s="168"/>
      <c r="AD60" s="168"/>
      <c r="AE60" s="168"/>
      <c r="AF60" s="168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</row>
    <row r="61" spans="1:115" s="527" customFormat="1" ht="12" customHeight="1" x14ac:dyDescent="0.25">
      <c r="A61" s="511">
        <v>44864</v>
      </c>
      <c r="B61" s="512" t="s">
        <v>623</v>
      </c>
      <c r="C61" s="513" t="s">
        <v>145</v>
      </c>
      <c r="D61" s="514">
        <v>80</v>
      </c>
      <c r="E61" s="515"/>
      <c r="F61" s="516"/>
      <c r="G61" s="517"/>
      <c r="H61" s="518"/>
      <c r="I61" s="519">
        <v>80</v>
      </c>
      <c r="J61" s="519"/>
      <c r="K61" s="520"/>
      <c r="L61" s="519"/>
      <c r="M61" s="519"/>
      <c r="N61" s="519"/>
      <c r="O61" s="521"/>
      <c r="P61" s="522"/>
      <c r="Q61" s="523"/>
      <c r="R61" s="523"/>
      <c r="S61" s="523"/>
      <c r="T61" s="523"/>
      <c r="U61" s="524"/>
      <c r="V61" s="523"/>
      <c r="W61" s="525"/>
      <c r="X61" s="523"/>
      <c r="Y61" s="523"/>
      <c r="Z61" s="523"/>
      <c r="AA61" s="526"/>
      <c r="AB61" s="168"/>
      <c r="AC61" s="168"/>
      <c r="AD61" s="168"/>
      <c r="AE61" s="168"/>
      <c r="AF61" s="168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</row>
    <row r="62" spans="1:115" s="170" customFormat="1" ht="12" customHeight="1" x14ac:dyDescent="0.25">
      <c r="A62" s="273">
        <v>44865</v>
      </c>
      <c r="B62" s="231" t="s">
        <v>215</v>
      </c>
      <c r="C62" s="274" t="s">
        <v>145</v>
      </c>
      <c r="D62" s="285"/>
      <c r="E62" s="218">
        <v>60</v>
      </c>
      <c r="F62" s="219"/>
      <c r="G62" s="286"/>
      <c r="H62" s="304"/>
      <c r="I62" s="185"/>
      <c r="J62" s="185"/>
      <c r="K62" s="186"/>
      <c r="L62" s="185"/>
      <c r="M62" s="185"/>
      <c r="N62" s="185"/>
      <c r="O62" s="305"/>
      <c r="P62" s="318"/>
      <c r="Q62" s="191"/>
      <c r="R62" s="191"/>
      <c r="S62" s="191"/>
      <c r="T62" s="191"/>
      <c r="U62" s="232"/>
      <c r="V62" s="191">
        <v>60</v>
      </c>
      <c r="W62" s="192"/>
      <c r="X62" s="191"/>
      <c r="Y62" s="191"/>
      <c r="Z62" s="191"/>
      <c r="AA62" s="319"/>
      <c r="AB62" s="168"/>
      <c r="AC62" s="168"/>
      <c r="AD62" s="168"/>
      <c r="AE62" s="168"/>
      <c r="AF62" s="168"/>
      <c r="AG62" s="168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</row>
    <row r="63" spans="1:115" s="170" customFormat="1" ht="12" customHeight="1" x14ac:dyDescent="0.25">
      <c r="A63" s="273">
        <v>44865</v>
      </c>
      <c r="B63" s="231" t="s">
        <v>661</v>
      </c>
      <c r="C63" s="274" t="s">
        <v>145</v>
      </c>
      <c r="D63" s="285">
        <v>605.28</v>
      </c>
      <c r="E63" s="218"/>
      <c r="F63" s="219"/>
      <c r="G63" s="286">
        <v>605.28</v>
      </c>
      <c r="H63" s="304"/>
      <c r="I63" s="185"/>
      <c r="J63" s="185"/>
      <c r="K63" s="186"/>
      <c r="L63" s="185"/>
      <c r="M63" s="185"/>
      <c r="N63" s="185"/>
      <c r="O63" s="305"/>
      <c r="P63" s="318"/>
      <c r="Q63" s="191"/>
      <c r="R63" s="191"/>
      <c r="S63" s="191"/>
      <c r="T63" s="191"/>
      <c r="U63" s="232"/>
      <c r="V63" s="191"/>
      <c r="W63" s="192"/>
      <c r="X63" s="191"/>
      <c r="Y63" s="191"/>
      <c r="Z63" s="191"/>
      <c r="AA63" s="319"/>
      <c r="AB63" s="168"/>
      <c r="AC63" s="168"/>
      <c r="AD63" s="168"/>
      <c r="AE63" s="168"/>
      <c r="AF63" s="168"/>
      <c r="AG63" s="168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</row>
    <row r="64" spans="1:115" s="170" customFormat="1" ht="12" customHeight="1" x14ac:dyDescent="0.25">
      <c r="A64" s="273">
        <v>44865</v>
      </c>
      <c r="B64" s="231" t="s">
        <v>662</v>
      </c>
      <c r="C64" s="274" t="s">
        <v>145</v>
      </c>
      <c r="D64" s="285">
        <v>200.03</v>
      </c>
      <c r="E64" s="218"/>
      <c r="F64" s="219"/>
      <c r="G64" s="286"/>
      <c r="H64" s="304"/>
      <c r="I64" s="185">
        <v>200.03</v>
      </c>
      <c r="J64" s="185"/>
      <c r="K64" s="186"/>
      <c r="L64" s="185"/>
      <c r="M64" s="185"/>
      <c r="N64" s="185"/>
      <c r="O64" s="305"/>
      <c r="P64" s="318"/>
      <c r="Q64" s="191"/>
      <c r="R64" s="191"/>
      <c r="S64" s="191"/>
      <c r="T64" s="191"/>
      <c r="U64" s="232"/>
      <c r="V64" s="191"/>
      <c r="W64" s="192"/>
      <c r="X64" s="191"/>
      <c r="Y64" s="191"/>
      <c r="Z64" s="191"/>
      <c r="AA64" s="319"/>
      <c r="AB64" s="168"/>
      <c r="AC64" s="168"/>
      <c r="AD64" s="168"/>
      <c r="AE64" s="168"/>
      <c r="AF64" s="168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</row>
    <row r="65" spans="1:115" s="170" customFormat="1" ht="12" customHeight="1" x14ac:dyDescent="0.25">
      <c r="A65" s="273">
        <v>44865</v>
      </c>
      <c r="B65" s="231" t="s">
        <v>663</v>
      </c>
      <c r="C65" s="274" t="s">
        <v>145</v>
      </c>
      <c r="D65" s="285">
        <v>50</v>
      </c>
      <c r="E65" s="218"/>
      <c r="F65" s="219"/>
      <c r="G65" s="286"/>
      <c r="H65" s="304"/>
      <c r="I65" s="185">
        <v>50</v>
      </c>
      <c r="J65" s="185"/>
      <c r="K65" s="186"/>
      <c r="L65" s="185"/>
      <c r="M65" s="185"/>
      <c r="N65" s="185"/>
      <c r="O65" s="305"/>
      <c r="P65" s="318"/>
      <c r="Q65" s="191"/>
      <c r="R65" s="191"/>
      <c r="S65" s="191"/>
      <c r="T65" s="191"/>
      <c r="U65" s="232"/>
      <c r="V65" s="191"/>
      <c r="W65" s="192"/>
      <c r="X65" s="191"/>
      <c r="Y65" s="191"/>
      <c r="Z65" s="191"/>
      <c r="AA65" s="319"/>
      <c r="AB65" s="168"/>
      <c r="AC65" s="168"/>
      <c r="AD65" s="168"/>
      <c r="AE65" s="168"/>
      <c r="AF65" s="168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</row>
    <row r="66" spans="1:115" s="9" customFormat="1" ht="11" thickBot="1" x14ac:dyDescent="0.3">
      <c r="A66" s="277" t="s">
        <v>25</v>
      </c>
      <c r="B66" s="278"/>
      <c r="C66" s="279"/>
      <c r="D66" s="289">
        <f t="shared" ref="D66:AA66" si="0">SUM(D6:D65)</f>
        <v>2665.2900000000004</v>
      </c>
      <c r="E66" s="290">
        <f t="shared" si="0"/>
        <v>2362.58</v>
      </c>
      <c r="F66" s="291">
        <f t="shared" si="0"/>
        <v>645.95000000000005</v>
      </c>
      <c r="G66" s="292">
        <f t="shared" si="0"/>
        <v>624.5</v>
      </c>
      <c r="H66" s="289">
        <f t="shared" si="0"/>
        <v>21.45</v>
      </c>
      <c r="I66" s="290">
        <f t="shared" si="0"/>
        <v>1803.41</v>
      </c>
      <c r="J66" s="290">
        <f t="shared" si="0"/>
        <v>0</v>
      </c>
      <c r="K66" s="290">
        <f t="shared" si="0"/>
        <v>881.1</v>
      </c>
      <c r="L66" s="290">
        <f t="shared" si="0"/>
        <v>0</v>
      </c>
      <c r="M66" s="290">
        <f t="shared" si="0"/>
        <v>0</v>
      </c>
      <c r="N66" s="290">
        <f t="shared" si="0"/>
        <v>0</v>
      </c>
      <c r="O66" s="308">
        <f t="shared" si="0"/>
        <v>0</v>
      </c>
      <c r="P66" s="322">
        <f t="shared" si="0"/>
        <v>99.28</v>
      </c>
      <c r="Q66" s="323">
        <f t="shared" si="0"/>
        <v>75</v>
      </c>
      <c r="R66" s="323">
        <f t="shared" si="0"/>
        <v>0</v>
      </c>
      <c r="S66" s="323">
        <f t="shared" si="0"/>
        <v>4.3</v>
      </c>
      <c r="T66" s="323">
        <f t="shared" si="0"/>
        <v>0</v>
      </c>
      <c r="U66" s="323">
        <f t="shared" si="0"/>
        <v>1929.99</v>
      </c>
      <c r="V66" s="323">
        <f t="shared" si="0"/>
        <v>262.79000000000002</v>
      </c>
      <c r="W66" s="323">
        <f t="shared" si="0"/>
        <v>10.44</v>
      </c>
      <c r="X66" s="323">
        <f t="shared" si="0"/>
        <v>0</v>
      </c>
      <c r="Y66" s="323">
        <f t="shared" si="0"/>
        <v>0</v>
      </c>
      <c r="Z66" s="323">
        <f t="shared" si="0"/>
        <v>0</v>
      </c>
      <c r="AA66" s="324">
        <f t="shared" si="0"/>
        <v>0</v>
      </c>
      <c r="AB66" s="37"/>
      <c r="AC66" s="37"/>
      <c r="AD66" s="37"/>
      <c r="AE66" s="37"/>
      <c r="AF66" s="37"/>
      <c r="AG66" s="37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s="38" customFormat="1" ht="11.5" thickTop="1" thickBot="1" x14ac:dyDescent="0.3">
      <c r="A67" s="326"/>
      <c r="B67" s="327"/>
      <c r="C67" s="328"/>
      <c r="D67" s="336"/>
      <c r="E67" s="337"/>
      <c r="F67" s="338"/>
      <c r="G67" s="339"/>
      <c r="H67" s="353"/>
      <c r="I67" s="338"/>
      <c r="J67" s="338"/>
      <c r="K67" s="354"/>
      <c r="L67" s="338"/>
      <c r="M67" s="338"/>
      <c r="N67" s="355"/>
      <c r="O67" s="339"/>
      <c r="P67" s="372"/>
      <c r="Q67" s="373"/>
      <c r="R67" s="373"/>
      <c r="S67" s="373"/>
      <c r="T67" s="374"/>
      <c r="U67" s="373"/>
      <c r="V67" s="373"/>
      <c r="W67" s="375"/>
      <c r="X67" s="376"/>
      <c r="Y67" s="376"/>
      <c r="Z67" s="376"/>
      <c r="AA67" s="377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</row>
    <row r="68" spans="1:115" s="6" customFormat="1" ht="53.5" thickTop="1" thickBot="1" x14ac:dyDescent="0.3">
      <c r="A68" s="329" t="s">
        <v>1</v>
      </c>
      <c r="B68" s="12" t="s">
        <v>2</v>
      </c>
      <c r="C68" s="330"/>
      <c r="D68" s="340" t="s">
        <v>3</v>
      </c>
      <c r="E68" s="233"/>
      <c r="F68" s="233" t="s">
        <v>4</v>
      </c>
      <c r="G68" s="341"/>
      <c r="H68" s="356" t="s">
        <v>5</v>
      </c>
      <c r="I68" s="13" t="s">
        <v>6</v>
      </c>
      <c r="J68" s="13" t="s">
        <v>7</v>
      </c>
      <c r="K68" s="14" t="s">
        <v>8</v>
      </c>
      <c r="L68" s="15" t="s">
        <v>9</v>
      </c>
      <c r="M68" s="14" t="s">
        <v>10</v>
      </c>
      <c r="N68" s="14" t="s">
        <v>11</v>
      </c>
      <c r="O68" s="357" t="s">
        <v>12</v>
      </c>
      <c r="P68" s="293" t="s">
        <v>13</v>
      </c>
      <c r="Q68" s="297" t="s">
        <v>98</v>
      </c>
      <c r="R68" s="309" t="s">
        <v>14</v>
      </c>
      <c r="S68" s="310" t="s">
        <v>15</v>
      </c>
      <c r="T68" s="311" t="s">
        <v>16</v>
      </c>
      <c r="U68" s="297" t="s">
        <v>17</v>
      </c>
      <c r="V68" s="297" t="s">
        <v>18</v>
      </c>
      <c r="W68" s="294" t="s">
        <v>63</v>
      </c>
      <c r="X68" s="312" t="s">
        <v>19</v>
      </c>
      <c r="Y68" s="297" t="s">
        <v>65</v>
      </c>
      <c r="Z68" s="297" t="s">
        <v>102</v>
      </c>
      <c r="AA68" s="298" t="s">
        <v>104</v>
      </c>
    </row>
    <row r="69" spans="1:115" s="6" customFormat="1" ht="11" thickBot="1" x14ac:dyDescent="0.3">
      <c r="A69" s="331"/>
      <c r="B69" s="16"/>
      <c r="C69" s="332"/>
      <c r="D69" s="342" t="s">
        <v>22</v>
      </c>
      <c r="E69" s="39" t="s">
        <v>23</v>
      </c>
      <c r="F69" s="16" t="s">
        <v>22</v>
      </c>
      <c r="G69" s="343" t="s">
        <v>23</v>
      </c>
      <c r="H69" s="331" t="s">
        <v>22</v>
      </c>
      <c r="I69" s="16" t="s">
        <v>22</v>
      </c>
      <c r="J69" s="16" t="s">
        <v>22</v>
      </c>
      <c r="K69" s="17" t="s">
        <v>22</v>
      </c>
      <c r="L69" s="18" t="s">
        <v>22</v>
      </c>
      <c r="M69" s="19" t="s">
        <v>22</v>
      </c>
      <c r="N69" s="20"/>
      <c r="O69" s="358" t="s">
        <v>22</v>
      </c>
      <c r="P69" s="331" t="s">
        <v>23</v>
      </c>
      <c r="Q69" s="16" t="s">
        <v>23</v>
      </c>
      <c r="R69" s="18" t="s">
        <v>23</v>
      </c>
      <c r="S69" s="18" t="s">
        <v>23</v>
      </c>
      <c r="T69" s="16" t="s">
        <v>23</v>
      </c>
      <c r="U69" s="16" t="s">
        <v>23</v>
      </c>
      <c r="V69" s="16" t="s">
        <v>23</v>
      </c>
      <c r="W69" s="19" t="s">
        <v>23</v>
      </c>
      <c r="X69" s="16" t="s">
        <v>23</v>
      </c>
      <c r="Y69" s="16" t="s">
        <v>23</v>
      </c>
      <c r="Z69" s="16" t="s">
        <v>23</v>
      </c>
      <c r="AA69" s="378" t="s">
        <v>23</v>
      </c>
    </row>
    <row r="70" spans="1:115" s="21" customFormat="1" ht="11" thickBot="1" x14ac:dyDescent="0.3">
      <c r="A70" s="333"/>
      <c r="B70" s="334"/>
      <c r="C70" s="335"/>
      <c r="D70" s="344">
        <f t="shared" ref="D70:AA70" si="1">SUM(D5:D65)</f>
        <v>14561.770000000008</v>
      </c>
      <c r="E70" s="345">
        <f t="shared" si="1"/>
        <v>2362.58</v>
      </c>
      <c r="F70" s="345">
        <f t="shared" si="1"/>
        <v>706.65000000000009</v>
      </c>
      <c r="G70" s="346">
        <f t="shared" si="1"/>
        <v>624.5</v>
      </c>
      <c r="H70" s="359">
        <f t="shared" si="1"/>
        <v>21.45</v>
      </c>
      <c r="I70" s="360">
        <f t="shared" si="1"/>
        <v>1803.41</v>
      </c>
      <c r="J70" s="360">
        <f t="shared" si="1"/>
        <v>0</v>
      </c>
      <c r="K70" s="360">
        <f t="shared" si="1"/>
        <v>881.1</v>
      </c>
      <c r="L70" s="360">
        <f t="shared" si="1"/>
        <v>0</v>
      </c>
      <c r="M70" s="360">
        <f t="shared" si="1"/>
        <v>0</v>
      </c>
      <c r="N70" s="360">
        <f t="shared" si="1"/>
        <v>0</v>
      </c>
      <c r="O70" s="361">
        <f t="shared" si="1"/>
        <v>11957.180000000008</v>
      </c>
      <c r="P70" s="359">
        <f t="shared" si="1"/>
        <v>99.28</v>
      </c>
      <c r="Q70" s="360">
        <f t="shared" si="1"/>
        <v>75</v>
      </c>
      <c r="R70" s="360">
        <f t="shared" si="1"/>
        <v>0</v>
      </c>
      <c r="S70" s="360">
        <f t="shared" si="1"/>
        <v>4.3</v>
      </c>
      <c r="T70" s="360">
        <f t="shared" si="1"/>
        <v>0</v>
      </c>
      <c r="U70" s="360">
        <f t="shared" si="1"/>
        <v>1929.99</v>
      </c>
      <c r="V70" s="360">
        <f t="shared" si="1"/>
        <v>262.79000000000002</v>
      </c>
      <c r="W70" s="360">
        <f t="shared" si="1"/>
        <v>10.44</v>
      </c>
      <c r="X70" s="360">
        <f t="shared" si="1"/>
        <v>0</v>
      </c>
      <c r="Y70" s="360">
        <f t="shared" si="1"/>
        <v>0</v>
      </c>
      <c r="Z70" s="360">
        <f t="shared" si="1"/>
        <v>0</v>
      </c>
      <c r="AA70" s="361">
        <f t="shared" si="1"/>
        <v>0</v>
      </c>
    </row>
    <row r="71" spans="1:115" s="6" customFormat="1" ht="11.5" thickTop="1" thickBot="1" x14ac:dyDescent="0.3">
      <c r="A71" s="347"/>
      <c r="B71" s="348" t="s">
        <v>26</v>
      </c>
      <c r="C71" s="349"/>
      <c r="D71" s="350">
        <f>SUM(D70-E70)</f>
        <v>12199.190000000008</v>
      </c>
      <c r="E71" s="351"/>
      <c r="F71" s="350">
        <f>SUM(F70-G70)</f>
        <v>82.150000000000091</v>
      </c>
      <c r="G71" s="352"/>
      <c r="H71" s="363"/>
      <c r="I71" s="379"/>
      <c r="J71" s="379" t="s">
        <v>20</v>
      </c>
      <c r="K71" s="365"/>
      <c r="L71" s="364"/>
      <c r="M71" s="364" t="s">
        <v>20</v>
      </c>
      <c r="N71" s="366"/>
      <c r="O71" s="367" t="s">
        <v>20</v>
      </c>
      <c r="P71" s="363"/>
      <c r="Q71" s="364"/>
      <c r="R71" s="364" t="s">
        <v>20</v>
      </c>
      <c r="S71" s="364" t="s">
        <v>20</v>
      </c>
      <c r="T71" s="364" t="s">
        <v>20</v>
      </c>
      <c r="U71" s="371"/>
      <c r="V71" s="364" t="s">
        <v>20</v>
      </c>
      <c r="W71" s="371"/>
      <c r="X71" s="364" t="s">
        <v>20</v>
      </c>
      <c r="Y71" s="364" t="s">
        <v>20</v>
      </c>
      <c r="Z71" s="364" t="s">
        <v>20</v>
      </c>
      <c r="AA71" s="352" t="s">
        <v>20</v>
      </c>
    </row>
    <row r="72" spans="1:115" s="6" customFormat="1" ht="13.5" thickTop="1" thickBot="1" x14ac:dyDescent="0.3">
      <c r="A72" s="2"/>
      <c r="B72" s="2"/>
      <c r="C72" s="55"/>
      <c r="D72" s="35"/>
      <c r="E72" s="34"/>
      <c r="F72" s="4"/>
      <c r="I72" s="546" t="s">
        <v>27</v>
      </c>
      <c r="J72" s="547"/>
      <c r="K72" s="362">
        <f>SUM(H70:O70)</f>
        <v>14663.140000000007</v>
      </c>
      <c r="O72" s="22"/>
      <c r="P72" s="4"/>
      <c r="Q72" s="6" t="s">
        <v>28</v>
      </c>
      <c r="R72" s="368" t="s">
        <v>20</v>
      </c>
      <c r="S72" s="369">
        <f>SUM(P70:AA70)</f>
        <v>2381.8000000000002</v>
      </c>
      <c r="T72" s="370"/>
    </row>
    <row r="73" spans="1:115" s="6" customFormat="1" ht="11" thickBot="1" x14ac:dyDescent="0.3">
      <c r="A73" s="2"/>
      <c r="B73" s="23" t="s">
        <v>29</v>
      </c>
      <c r="C73" s="23"/>
      <c r="D73" s="40" t="s">
        <v>20</v>
      </c>
      <c r="E73" s="193">
        <f>SUM(D70-E70+F70-G70)</f>
        <v>12281.340000000007</v>
      </c>
      <c r="F73" s="25" t="s">
        <v>49</v>
      </c>
      <c r="H73" s="26"/>
      <c r="I73" s="46"/>
      <c r="J73" s="46"/>
      <c r="K73" s="27"/>
      <c r="M73" s="7"/>
      <c r="N73" s="46"/>
      <c r="O73" s="24">
        <f>E70</f>
        <v>2362.58</v>
      </c>
      <c r="P73" s="540">
        <f>SUM(K72-S72)</f>
        <v>12281.340000000007</v>
      </c>
      <c r="Q73" s="540"/>
      <c r="R73" s="541" t="s">
        <v>30</v>
      </c>
      <c r="S73" s="541"/>
      <c r="T73" s="541"/>
    </row>
    <row r="74" spans="1:115" s="6" customFormat="1" ht="10.5" x14ac:dyDescent="0.25">
      <c r="A74" s="1"/>
      <c r="B74" s="2"/>
      <c r="C74" s="55"/>
      <c r="D74" s="28"/>
      <c r="E74" s="34"/>
      <c r="F74" s="4"/>
      <c r="G74" s="3"/>
      <c r="H74" s="3"/>
      <c r="I74" s="3"/>
      <c r="J74" s="3"/>
      <c r="K74" s="5"/>
      <c r="L74" s="530"/>
      <c r="M74" s="3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115" s="6" customFormat="1" x14ac:dyDescent="0.25">
      <c r="A75" s="1"/>
      <c r="B75" s="2"/>
      <c r="C75" s="2"/>
      <c r="D75" s="542" t="s">
        <v>52</v>
      </c>
      <c r="E75" s="543"/>
      <c r="F75" s="194">
        <v>40.1</v>
      </c>
      <c r="G75" s="197">
        <f>12571.68-422.49+50</f>
        <v>12199.19</v>
      </c>
      <c r="H75" s="52" t="s">
        <v>54</v>
      </c>
      <c r="I75" s="57"/>
      <c r="J75" s="3"/>
      <c r="K75" s="5"/>
      <c r="L75" s="3"/>
      <c r="M75" s="3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115" s="6" customFormat="1" x14ac:dyDescent="0.25">
      <c r="A76" s="1"/>
      <c r="B76" s="2"/>
      <c r="C76" s="2"/>
      <c r="D76" s="544" t="s">
        <v>34</v>
      </c>
      <c r="E76" s="545"/>
      <c r="F76" s="195">
        <v>20.6</v>
      </c>
      <c r="G76" s="197">
        <f>D71</f>
        <v>12199.190000000008</v>
      </c>
      <c r="H76" s="52" t="s">
        <v>60</v>
      </c>
      <c r="I76" s="57"/>
      <c r="J76" s="3"/>
      <c r="K76" s="5"/>
      <c r="L76" s="3"/>
      <c r="M76" s="3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115" s="6" customFormat="1" x14ac:dyDescent="0.25">
      <c r="A77" s="1"/>
      <c r="B77" s="2"/>
      <c r="C77" s="2"/>
      <c r="D77" s="544" t="s">
        <v>85</v>
      </c>
      <c r="E77" s="545"/>
      <c r="F77" s="194">
        <v>21.45</v>
      </c>
      <c r="G77" s="198">
        <f>G75-G76</f>
        <v>0</v>
      </c>
      <c r="H77" s="53" t="s">
        <v>50</v>
      </c>
      <c r="I77" s="3"/>
      <c r="J77" s="3"/>
      <c r="K77" s="5"/>
      <c r="L77" s="3"/>
      <c r="M77" s="3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115" s="6" customFormat="1" x14ac:dyDescent="0.25">
      <c r="A78" s="1"/>
      <c r="B78" s="2"/>
      <c r="C78" s="2"/>
      <c r="D78" s="533" t="s">
        <v>50</v>
      </c>
      <c r="E78" s="534"/>
      <c r="F78" s="196">
        <f>F75+F76+F77-F71</f>
        <v>0</v>
      </c>
      <c r="G78" s="84"/>
      <c r="H78" s="85"/>
      <c r="I78" s="3"/>
      <c r="J78" s="3"/>
      <c r="K78" s="5"/>
      <c r="L78" s="3"/>
      <c r="M78" s="3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</sheetData>
  <sheetProtection selectLockedCells="1" selectUnlockedCells="1"/>
  <mergeCells count="10">
    <mergeCell ref="R73:T73"/>
    <mergeCell ref="D75:E75"/>
    <mergeCell ref="D76:E76"/>
    <mergeCell ref="D77:E77"/>
    <mergeCell ref="I72:J72"/>
    <mergeCell ref="A1:B1"/>
    <mergeCell ref="D3:E3"/>
    <mergeCell ref="F3:G3"/>
    <mergeCell ref="D78:E78"/>
    <mergeCell ref="P73:Q73"/>
  </mergeCells>
  <printOptions horizontalCentered="1"/>
  <pageMargins left="0.78749999999999998" right="0.78749999999999998" top="0.59027777777777768" bottom="0.19652777777777777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2017&amp;R&amp;UOCTOBRE 2017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134"/>
  <sheetViews>
    <sheetView showGridLines="0" topLeftCell="A9" workbookViewId="0">
      <selection activeCell="A32" sqref="A32:XFD32"/>
    </sheetView>
  </sheetViews>
  <sheetFormatPr baseColWidth="10" defaultColWidth="10.81640625" defaultRowHeight="10.5" x14ac:dyDescent="0.25"/>
  <cols>
    <col min="1" max="1" width="10.81640625" style="58"/>
    <col min="2" max="2" width="28.179687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10">
        <v>44870</v>
      </c>
      <c r="B2" s="56" t="s">
        <v>668</v>
      </c>
      <c r="C2" s="205"/>
      <c r="D2" s="204"/>
      <c r="E2" s="204">
        <v>15</v>
      </c>
      <c r="F2" s="204">
        <f t="shared" ref="F2:F26" si="0">SUM(C2:E2)</f>
        <v>15</v>
      </c>
      <c r="G2" s="211" t="s">
        <v>145</v>
      </c>
    </row>
    <row r="3" spans="1:35" ht="13" x14ac:dyDescent="0.3">
      <c r="A3" s="210">
        <v>44870</v>
      </c>
      <c r="B3" s="56" t="s">
        <v>669</v>
      </c>
      <c r="C3" s="205"/>
      <c r="D3" s="204">
        <v>205.1</v>
      </c>
      <c r="E3" s="204"/>
      <c r="F3" s="204">
        <f>SUM(C3:E3)</f>
        <v>205.1</v>
      </c>
      <c r="G3" s="211" t="s">
        <v>145</v>
      </c>
    </row>
    <row r="4" spans="1:35" ht="13" x14ac:dyDescent="0.3">
      <c r="A4" s="210">
        <v>44870</v>
      </c>
      <c r="B4" s="56" t="s">
        <v>669</v>
      </c>
      <c r="C4" s="205"/>
      <c r="D4" s="204"/>
      <c r="E4" s="204">
        <v>13.7</v>
      </c>
      <c r="F4" s="202">
        <f t="shared" si="0"/>
        <v>13.7</v>
      </c>
      <c r="G4" s="211" t="s">
        <v>145</v>
      </c>
    </row>
    <row r="5" spans="1:35" ht="13" x14ac:dyDescent="0.3">
      <c r="A5" s="210">
        <v>44870</v>
      </c>
      <c r="B5" s="56" t="s">
        <v>670</v>
      </c>
      <c r="C5" s="205"/>
      <c r="D5" s="204"/>
      <c r="E5" s="204">
        <v>107</v>
      </c>
      <c r="F5" s="202">
        <f t="shared" si="0"/>
        <v>107</v>
      </c>
      <c r="G5" s="211" t="s">
        <v>145</v>
      </c>
    </row>
    <row r="6" spans="1:35" ht="13" x14ac:dyDescent="0.3">
      <c r="A6" s="210">
        <v>44880</v>
      </c>
      <c r="B6" s="56" t="s">
        <v>678</v>
      </c>
      <c r="C6" s="205"/>
      <c r="D6" s="204">
        <v>121</v>
      </c>
      <c r="E6" s="204"/>
      <c r="F6" s="202">
        <f t="shared" si="0"/>
        <v>121</v>
      </c>
      <c r="G6" s="211" t="s">
        <v>145</v>
      </c>
    </row>
    <row r="7" spans="1:35" ht="13" x14ac:dyDescent="0.3">
      <c r="A7" s="210">
        <v>44880</v>
      </c>
      <c r="B7" s="56" t="s">
        <v>679</v>
      </c>
      <c r="C7" s="205"/>
      <c r="D7" s="204">
        <v>23</v>
      </c>
      <c r="E7" s="204"/>
      <c r="F7" s="202">
        <f t="shared" si="0"/>
        <v>23</v>
      </c>
      <c r="G7" s="211" t="s">
        <v>145</v>
      </c>
    </row>
    <row r="8" spans="1:35" ht="13" x14ac:dyDescent="0.3">
      <c r="A8" s="210">
        <v>44880</v>
      </c>
      <c r="B8" s="56" t="s">
        <v>680</v>
      </c>
      <c r="C8" s="205"/>
      <c r="D8" s="204"/>
      <c r="E8" s="204">
        <v>24.5</v>
      </c>
      <c r="F8" s="202">
        <f t="shared" si="0"/>
        <v>24.5</v>
      </c>
      <c r="G8" s="211" t="s">
        <v>145</v>
      </c>
    </row>
    <row r="9" spans="1:35" ht="13" x14ac:dyDescent="0.3">
      <c r="A9" s="210">
        <v>44880</v>
      </c>
      <c r="B9" s="56" t="s">
        <v>681</v>
      </c>
      <c r="C9" s="205"/>
      <c r="D9" s="204"/>
      <c r="E9" s="205">
        <v>44.5</v>
      </c>
      <c r="F9" s="202">
        <f t="shared" si="0"/>
        <v>44.5</v>
      </c>
      <c r="G9" s="211" t="s">
        <v>145</v>
      </c>
    </row>
    <row r="10" spans="1:35" s="162" customFormat="1" ht="13" x14ac:dyDescent="0.3">
      <c r="A10" s="210">
        <v>44880</v>
      </c>
      <c r="B10" s="56" t="s">
        <v>682</v>
      </c>
      <c r="C10" s="205"/>
      <c r="D10" s="200">
        <v>43.5</v>
      </c>
      <c r="E10" s="204"/>
      <c r="F10" s="202">
        <f t="shared" si="0"/>
        <v>43.5</v>
      </c>
      <c r="G10" s="211" t="s">
        <v>145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" customFormat="1" ht="13" x14ac:dyDescent="0.3">
      <c r="A11" s="210">
        <v>44880</v>
      </c>
      <c r="B11" s="56" t="s">
        <v>708</v>
      </c>
      <c r="C11" s="205"/>
      <c r="D11" s="200">
        <v>18</v>
      </c>
      <c r="E11" s="204"/>
      <c r="F11" s="202">
        <f t="shared" si="0"/>
        <v>18</v>
      </c>
      <c r="G11" s="211" t="s">
        <v>145</v>
      </c>
    </row>
    <row r="12" spans="1:35" s="3" customFormat="1" ht="13" x14ac:dyDescent="0.3">
      <c r="A12" s="210">
        <v>44880</v>
      </c>
      <c r="B12" s="56" t="s">
        <v>683</v>
      </c>
      <c r="C12" s="205"/>
      <c r="D12" s="200">
        <v>28</v>
      </c>
      <c r="E12" s="204"/>
      <c r="F12" s="202">
        <f t="shared" si="0"/>
        <v>28</v>
      </c>
      <c r="G12" s="211" t="s">
        <v>145</v>
      </c>
    </row>
    <row r="13" spans="1:35" s="3" customFormat="1" ht="13" x14ac:dyDescent="0.3">
      <c r="A13" s="210">
        <v>44880</v>
      </c>
      <c r="B13" s="56" t="s">
        <v>684</v>
      </c>
      <c r="C13" s="205"/>
      <c r="D13" s="200"/>
      <c r="E13" s="204">
        <v>29.5</v>
      </c>
      <c r="F13" s="202">
        <f t="shared" si="0"/>
        <v>29.5</v>
      </c>
      <c r="G13" s="211" t="s">
        <v>145</v>
      </c>
    </row>
    <row r="14" spans="1:35" s="3" customFormat="1" ht="13" x14ac:dyDescent="0.3">
      <c r="A14" s="210">
        <v>44880</v>
      </c>
      <c r="B14" s="56" t="s">
        <v>685</v>
      </c>
      <c r="C14" s="205"/>
      <c r="D14" s="200"/>
      <c r="E14" s="204">
        <v>102</v>
      </c>
      <c r="F14" s="202">
        <f t="shared" si="0"/>
        <v>102</v>
      </c>
      <c r="G14" s="211" t="s">
        <v>145</v>
      </c>
    </row>
    <row r="15" spans="1:35" s="3" customFormat="1" ht="13" x14ac:dyDescent="0.3">
      <c r="A15" s="210">
        <v>44880</v>
      </c>
      <c r="B15" s="56" t="s">
        <v>683</v>
      </c>
      <c r="C15" s="205"/>
      <c r="D15" s="200"/>
      <c r="E15" s="204">
        <v>4</v>
      </c>
      <c r="F15" s="202">
        <f t="shared" si="0"/>
        <v>4</v>
      </c>
      <c r="G15" s="211" t="s">
        <v>145</v>
      </c>
    </row>
    <row r="16" spans="1:35" ht="13" x14ac:dyDescent="0.3">
      <c r="A16" s="210">
        <v>44880</v>
      </c>
      <c r="B16" s="56" t="s">
        <v>686</v>
      </c>
      <c r="C16" s="205"/>
      <c r="D16" s="204"/>
      <c r="E16" s="204">
        <v>13.5</v>
      </c>
      <c r="F16" s="202">
        <f t="shared" ref="F16:F25" si="1">SUM(C16:E16)</f>
        <v>13.5</v>
      </c>
      <c r="G16" s="211" t="s">
        <v>145</v>
      </c>
    </row>
    <row r="17" spans="1:35" ht="13" x14ac:dyDescent="0.3">
      <c r="A17" s="210">
        <v>44880</v>
      </c>
      <c r="B17" s="56" t="s">
        <v>683</v>
      </c>
      <c r="C17" s="205"/>
      <c r="D17" s="204"/>
      <c r="E17" s="204">
        <v>28</v>
      </c>
      <c r="F17" s="202">
        <f t="shared" si="1"/>
        <v>28</v>
      </c>
      <c r="G17" s="211" t="s">
        <v>145</v>
      </c>
    </row>
    <row r="18" spans="1:35" ht="13" x14ac:dyDescent="0.3">
      <c r="A18" s="210">
        <v>44880</v>
      </c>
      <c r="B18" s="56" t="s">
        <v>687</v>
      </c>
      <c r="C18" s="205"/>
      <c r="D18" s="204"/>
      <c r="E18" s="204">
        <v>4</v>
      </c>
      <c r="F18" s="202">
        <f t="shared" si="1"/>
        <v>4</v>
      </c>
      <c r="G18" s="211" t="s">
        <v>145</v>
      </c>
    </row>
    <row r="19" spans="1:35" ht="13" x14ac:dyDescent="0.3">
      <c r="A19" s="210">
        <v>44880</v>
      </c>
      <c r="B19" s="56" t="s">
        <v>688</v>
      </c>
      <c r="C19" s="205"/>
      <c r="D19" s="204"/>
      <c r="E19" s="205">
        <v>17.5</v>
      </c>
      <c r="F19" s="202">
        <f t="shared" si="1"/>
        <v>17.5</v>
      </c>
      <c r="G19" s="211" t="s">
        <v>145</v>
      </c>
    </row>
    <row r="20" spans="1:35" s="162" customFormat="1" ht="13" x14ac:dyDescent="0.3">
      <c r="A20" s="210">
        <v>44883</v>
      </c>
      <c r="B20" s="56" t="s">
        <v>690</v>
      </c>
      <c r="C20" s="205"/>
      <c r="D20" s="200">
        <v>90</v>
      </c>
      <c r="E20" s="204"/>
      <c r="F20" s="202">
        <f t="shared" si="1"/>
        <v>90</v>
      </c>
      <c r="G20" s="211" t="s">
        <v>145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3" customFormat="1" ht="13" x14ac:dyDescent="0.3">
      <c r="A21" s="210">
        <v>44883</v>
      </c>
      <c r="B21" s="56" t="s">
        <v>690</v>
      </c>
      <c r="C21" s="205"/>
      <c r="D21" s="200"/>
      <c r="E21" s="204">
        <v>24</v>
      </c>
      <c r="F21" s="202">
        <f t="shared" si="1"/>
        <v>24</v>
      </c>
      <c r="G21" s="211" t="s">
        <v>145</v>
      </c>
    </row>
    <row r="22" spans="1:35" s="3" customFormat="1" ht="13" x14ac:dyDescent="0.3">
      <c r="A22" s="210">
        <v>44883</v>
      </c>
      <c r="B22" s="56" t="s">
        <v>691</v>
      </c>
      <c r="C22" s="205"/>
      <c r="D22" s="200">
        <v>185</v>
      </c>
      <c r="E22" s="204"/>
      <c r="F22" s="202">
        <f t="shared" si="1"/>
        <v>185</v>
      </c>
      <c r="G22" s="211" t="s">
        <v>145</v>
      </c>
    </row>
    <row r="23" spans="1:35" s="3" customFormat="1" ht="13" x14ac:dyDescent="0.3">
      <c r="A23" s="210">
        <v>44883</v>
      </c>
      <c r="B23" s="56" t="s">
        <v>692</v>
      </c>
      <c r="C23" s="205"/>
      <c r="D23" s="200"/>
      <c r="E23" s="204">
        <v>15</v>
      </c>
      <c r="F23" s="202">
        <f t="shared" si="1"/>
        <v>15</v>
      </c>
      <c r="G23" s="211" t="s">
        <v>145</v>
      </c>
    </row>
    <row r="24" spans="1:35" s="3" customFormat="1" ht="13" x14ac:dyDescent="0.3">
      <c r="A24" s="210">
        <v>44895</v>
      </c>
      <c r="B24" s="56" t="s">
        <v>696</v>
      </c>
      <c r="C24" s="205"/>
      <c r="D24" s="200"/>
      <c r="E24" s="204">
        <v>3</v>
      </c>
      <c r="F24" s="202">
        <f t="shared" si="1"/>
        <v>3</v>
      </c>
      <c r="G24" s="211" t="s">
        <v>145</v>
      </c>
    </row>
    <row r="25" spans="1:35" s="3" customFormat="1" ht="13" x14ac:dyDescent="0.3">
      <c r="A25" s="210">
        <v>44895</v>
      </c>
      <c r="B25" s="56" t="s">
        <v>697</v>
      </c>
      <c r="C25" s="205"/>
      <c r="D25" s="200"/>
      <c r="E25" s="204">
        <v>38</v>
      </c>
      <c r="F25" s="202">
        <f t="shared" si="1"/>
        <v>38</v>
      </c>
      <c r="G25" s="211" t="s">
        <v>145</v>
      </c>
    </row>
    <row r="26" spans="1:35" s="3" customFormat="1" ht="13" x14ac:dyDescent="0.3">
      <c r="A26" s="210">
        <v>44895</v>
      </c>
      <c r="B26" s="56" t="s">
        <v>698</v>
      </c>
      <c r="C26" s="205"/>
      <c r="D26" s="200">
        <v>33</v>
      </c>
      <c r="E26" s="204"/>
      <c r="F26" s="202">
        <f t="shared" si="0"/>
        <v>33</v>
      </c>
      <c r="G26" s="211" t="s">
        <v>145</v>
      </c>
    </row>
    <row r="27" spans="1:35" s="3" customFormat="1" ht="13" x14ac:dyDescent="0.3">
      <c r="A27" s="210">
        <v>44895</v>
      </c>
      <c r="B27" s="56" t="s">
        <v>699</v>
      </c>
      <c r="C27" s="205"/>
      <c r="D27" s="200"/>
      <c r="E27" s="204">
        <v>10.5</v>
      </c>
      <c r="F27" s="202">
        <f t="shared" ref="F27:F29" si="2">SUM(C27:E27)</f>
        <v>10.5</v>
      </c>
      <c r="G27" s="211" t="s">
        <v>145</v>
      </c>
    </row>
    <row r="28" spans="1:35" s="3" customFormat="1" ht="13" x14ac:dyDescent="0.3">
      <c r="A28" s="210">
        <v>44895</v>
      </c>
      <c r="B28" s="56" t="s">
        <v>700</v>
      </c>
      <c r="C28" s="205"/>
      <c r="D28" s="200">
        <v>9</v>
      </c>
      <c r="E28" s="204"/>
      <c r="F28" s="202">
        <f t="shared" si="2"/>
        <v>9</v>
      </c>
      <c r="G28" s="211" t="s">
        <v>145</v>
      </c>
    </row>
    <row r="29" spans="1:35" s="3" customFormat="1" ht="13" x14ac:dyDescent="0.3">
      <c r="A29" s="210">
        <v>44895</v>
      </c>
      <c r="B29" s="56" t="s">
        <v>701</v>
      </c>
      <c r="C29" s="205"/>
      <c r="D29" s="200">
        <v>9</v>
      </c>
      <c r="E29" s="204"/>
      <c r="F29" s="202">
        <f t="shared" si="2"/>
        <v>9</v>
      </c>
      <c r="G29" s="211" t="s">
        <v>145</v>
      </c>
    </row>
    <row r="30" spans="1:35" s="3" customFormat="1" ht="13" x14ac:dyDescent="0.3">
      <c r="A30" s="210">
        <v>44895</v>
      </c>
      <c r="B30" s="56" t="s">
        <v>702</v>
      </c>
      <c r="C30" s="205"/>
      <c r="D30" s="200"/>
      <c r="E30" s="204">
        <v>3</v>
      </c>
      <c r="F30" s="202">
        <f t="shared" ref="F30" si="3">SUM(C30:E30)</f>
        <v>3</v>
      </c>
      <c r="G30" s="211" t="s">
        <v>145</v>
      </c>
    </row>
    <row r="31" spans="1:35" s="3" customFormat="1" ht="13" x14ac:dyDescent="0.3">
      <c r="A31" s="210">
        <v>44895</v>
      </c>
      <c r="B31" s="56" t="s">
        <v>703</v>
      </c>
      <c r="C31" s="205"/>
      <c r="D31" s="200">
        <v>75</v>
      </c>
      <c r="E31" s="204"/>
      <c r="F31" s="202">
        <f t="shared" ref="F31" si="4">SUM(C31:E31)</f>
        <v>75</v>
      </c>
      <c r="G31" s="211" t="s">
        <v>145</v>
      </c>
    </row>
    <row r="32" spans="1:35" s="3" customFormat="1" ht="13" thickBot="1" x14ac:dyDescent="0.3">
      <c r="A32" s="212"/>
      <c r="B32" s="213" t="s">
        <v>0</v>
      </c>
      <c r="C32" s="214">
        <f>SUM(C2:C31)</f>
        <v>0</v>
      </c>
      <c r="D32" s="214">
        <f>SUM(D2:D31)</f>
        <v>839.6</v>
      </c>
      <c r="E32" s="214">
        <f>SUM(E2:E31)</f>
        <v>496.7</v>
      </c>
      <c r="F32" s="215">
        <f>SUM(C32:E32)</f>
        <v>1336.3</v>
      </c>
      <c r="G32" s="216"/>
    </row>
    <row r="33" spans="4:5" s="3" customFormat="1" ht="11" thickTop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  <row r="1133" spans="4:5" s="3" customFormat="1" x14ac:dyDescent="0.25">
      <c r="D1133" s="1"/>
      <c r="E1133" s="1"/>
    </row>
    <row r="1134" spans="4:5" s="3" customFormat="1" x14ac:dyDescent="0.25">
      <c r="D1134" s="1"/>
      <c r="E1134" s="1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127"/>
  <sheetViews>
    <sheetView showGridLines="0" workbookViewId="0">
      <selection activeCell="A17" sqref="A17:XFD17"/>
    </sheetView>
  </sheetViews>
  <sheetFormatPr baseColWidth="10" defaultColWidth="10.81640625" defaultRowHeight="10.5" x14ac:dyDescent="0.25"/>
  <cols>
    <col min="1" max="1" width="10.81640625" style="58"/>
    <col min="2" max="2" width="23.90625" style="58" bestFit="1" customWidth="1"/>
    <col min="3" max="3" width="10.81640625" style="58"/>
    <col min="4" max="4" width="10.81640625" style="153" bestFit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7" ht="13" thickTop="1" x14ac:dyDescent="0.25">
      <c r="A1" s="206" t="s">
        <v>55</v>
      </c>
      <c r="B1" s="208"/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7" ht="12.5" x14ac:dyDescent="0.25">
      <c r="A2" s="210">
        <v>44867</v>
      </c>
      <c r="B2" s="56" t="s">
        <v>558</v>
      </c>
      <c r="C2" s="199">
        <v>100</v>
      </c>
      <c r="D2" s="200"/>
      <c r="E2" s="201"/>
      <c r="F2" s="202">
        <f t="shared" ref="F2:F11" si="0">SUM(C2:E2)</f>
        <v>100</v>
      </c>
      <c r="G2" s="217" t="s">
        <v>145</v>
      </c>
    </row>
    <row r="3" spans="1:7" ht="12.5" x14ac:dyDescent="0.25">
      <c r="A3" s="210">
        <v>44870</v>
      </c>
      <c r="B3" s="56" t="s">
        <v>306</v>
      </c>
      <c r="C3" s="199">
        <v>131.88</v>
      </c>
      <c r="D3" s="200"/>
      <c r="E3" s="203"/>
      <c r="F3" s="202">
        <f t="shared" si="0"/>
        <v>131.88</v>
      </c>
      <c r="G3" s="217" t="s">
        <v>145</v>
      </c>
    </row>
    <row r="4" spans="1:7" ht="12.5" x14ac:dyDescent="0.25">
      <c r="A4" s="210">
        <v>44872</v>
      </c>
      <c r="B4" s="56" t="s">
        <v>283</v>
      </c>
      <c r="C4" s="199">
        <v>144</v>
      </c>
      <c r="D4" s="200"/>
      <c r="E4" s="203"/>
      <c r="F4" s="204">
        <f t="shared" si="0"/>
        <v>144</v>
      </c>
      <c r="G4" s="217" t="s">
        <v>145</v>
      </c>
    </row>
    <row r="5" spans="1:7" ht="12.5" x14ac:dyDescent="0.25">
      <c r="A5" s="210">
        <v>44874</v>
      </c>
      <c r="B5" s="56" t="s">
        <v>475</v>
      </c>
      <c r="C5" s="199">
        <v>70.959999999999994</v>
      </c>
      <c r="D5" s="200"/>
      <c r="E5" s="203"/>
      <c r="F5" s="204">
        <f t="shared" si="0"/>
        <v>70.959999999999994</v>
      </c>
      <c r="G5" s="217" t="s">
        <v>145</v>
      </c>
    </row>
    <row r="6" spans="1:7" ht="12.5" x14ac:dyDescent="0.25">
      <c r="A6" s="210">
        <v>44876</v>
      </c>
      <c r="B6" s="56" t="s">
        <v>351</v>
      </c>
      <c r="C6" s="199">
        <v>50</v>
      </c>
      <c r="D6" s="200"/>
      <c r="E6" s="203"/>
      <c r="F6" s="204">
        <f t="shared" si="0"/>
        <v>50</v>
      </c>
      <c r="G6" s="217" t="s">
        <v>145</v>
      </c>
    </row>
    <row r="7" spans="1:7" ht="12.5" x14ac:dyDescent="0.25">
      <c r="A7" s="210">
        <v>44877</v>
      </c>
      <c r="B7" s="56" t="s">
        <v>312</v>
      </c>
      <c r="C7" s="199">
        <v>40</v>
      </c>
      <c r="D7" s="200"/>
      <c r="E7" s="203"/>
      <c r="F7" s="204">
        <f t="shared" si="0"/>
        <v>40</v>
      </c>
      <c r="G7" s="217" t="s">
        <v>145</v>
      </c>
    </row>
    <row r="8" spans="1:7" ht="12.5" x14ac:dyDescent="0.25">
      <c r="A8" s="210">
        <v>44880</v>
      </c>
      <c r="B8" s="56" t="s">
        <v>141</v>
      </c>
      <c r="C8" s="199">
        <v>50</v>
      </c>
      <c r="D8" s="200"/>
      <c r="E8" s="203"/>
      <c r="F8" s="204">
        <f t="shared" si="0"/>
        <v>50</v>
      </c>
      <c r="G8" s="217" t="s">
        <v>145</v>
      </c>
    </row>
    <row r="9" spans="1:7" ht="12.5" x14ac:dyDescent="0.25">
      <c r="A9" s="210">
        <v>44884</v>
      </c>
      <c r="B9" s="56" t="s">
        <v>675</v>
      </c>
      <c r="C9" s="199"/>
      <c r="D9" s="200">
        <v>100</v>
      </c>
      <c r="E9" s="203"/>
      <c r="F9" s="204">
        <f t="shared" si="0"/>
        <v>100</v>
      </c>
      <c r="G9" s="217" t="s">
        <v>145</v>
      </c>
    </row>
    <row r="10" spans="1:7" ht="12.5" x14ac:dyDescent="0.25">
      <c r="A10" s="210">
        <v>44884</v>
      </c>
      <c r="B10" s="56" t="s">
        <v>676</v>
      </c>
      <c r="C10" s="199"/>
      <c r="D10" s="200">
        <v>200</v>
      </c>
      <c r="E10" s="203"/>
      <c r="F10" s="204">
        <f t="shared" si="0"/>
        <v>200</v>
      </c>
      <c r="G10" s="217" t="s">
        <v>145</v>
      </c>
    </row>
    <row r="11" spans="1:7" ht="12.5" x14ac:dyDescent="0.25">
      <c r="A11" s="210">
        <v>44886</v>
      </c>
      <c r="B11" s="56" t="s">
        <v>693</v>
      </c>
      <c r="C11" s="199">
        <v>170</v>
      </c>
      <c r="D11" s="200"/>
      <c r="E11" s="203"/>
      <c r="F11" s="204">
        <f t="shared" si="0"/>
        <v>170</v>
      </c>
      <c r="G11" s="217" t="s">
        <v>145</v>
      </c>
    </row>
    <row r="12" spans="1:7" ht="12.5" x14ac:dyDescent="0.25">
      <c r="A12" s="210">
        <v>44891</v>
      </c>
      <c r="B12" s="56" t="s">
        <v>142</v>
      </c>
      <c r="C12" s="199">
        <v>31</v>
      </c>
      <c r="D12" s="200"/>
      <c r="E12" s="203"/>
      <c r="F12" s="204">
        <f t="shared" ref="F12:F14" si="1">SUM(C12:E12)</f>
        <v>31</v>
      </c>
      <c r="G12" s="217" t="s">
        <v>145</v>
      </c>
    </row>
    <row r="13" spans="1:7" ht="12.5" x14ac:dyDescent="0.25">
      <c r="A13" s="210">
        <v>44893</v>
      </c>
      <c r="B13" s="56" t="s">
        <v>694</v>
      </c>
      <c r="C13" s="199">
        <v>100</v>
      </c>
      <c r="D13" s="200"/>
      <c r="E13" s="203"/>
      <c r="F13" s="204">
        <f t="shared" si="1"/>
        <v>100</v>
      </c>
      <c r="G13" s="217" t="s">
        <v>145</v>
      </c>
    </row>
    <row r="14" spans="1:7" ht="12.5" x14ac:dyDescent="0.25">
      <c r="A14" s="210">
        <v>44894</v>
      </c>
      <c r="B14" s="56" t="s">
        <v>396</v>
      </c>
      <c r="C14" s="199">
        <v>199.06</v>
      </c>
      <c r="D14" s="200"/>
      <c r="E14" s="203"/>
      <c r="F14" s="204">
        <f t="shared" si="1"/>
        <v>199.06</v>
      </c>
      <c r="G14" s="217" t="s">
        <v>145</v>
      </c>
    </row>
    <row r="15" spans="1:7" ht="12.5" x14ac:dyDescent="0.25">
      <c r="A15" s="210">
        <v>44895</v>
      </c>
      <c r="B15" s="56" t="s">
        <v>636</v>
      </c>
      <c r="C15" s="199"/>
      <c r="D15" s="200">
        <v>100</v>
      </c>
      <c r="E15" s="203"/>
      <c r="F15" s="204">
        <f t="shared" ref="F15:F16" si="2">SUM(C15:E15)</f>
        <v>100</v>
      </c>
      <c r="G15" s="217" t="s">
        <v>145</v>
      </c>
    </row>
    <row r="16" spans="1:7" ht="12.5" x14ac:dyDescent="0.25">
      <c r="A16" s="210">
        <v>44895</v>
      </c>
      <c r="B16" s="56" t="s">
        <v>676</v>
      </c>
      <c r="C16" s="199"/>
      <c r="D16" s="200">
        <v>300</v>
      </c>
      <c r="E16" s="203"/>
      <c r="F16" s="204">
        <f t="shared" si="2"/>
        <v>300</v>
      </c>
      <c r="G16" s="217" t="s">
        <v>145</v>
      </c>
    </row>
    <row r="17" spans="1:35" s="162" customFormat="1" ht="13" thickBot="1" x14ac:dyDescent="0.3">
      <c r="A17" s="212"/>
      <c r="B17" s="213" t="s">
        <v>0</v>
      </c>
      <c r="C17" s="214">
        <f>SUM(C2:C16)</f>
        <v>1086.8999999999999</v>
      </c>
      <c r="D17" s="214">
        <f>SUM(D2:D16)</f>
        <v>700</v>
      </c>
      <c r="E17" s="214">
        <f>SUM(E2:E16)</f>
        <v>0</v>
      </c>
      <c r="F17" s="215">
        <f>SUM(F2:F16)</f>
        <v>1786.8999999999999</v>
      </c>
      <c r="G17" s="2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3" customFormat="1" ht="11" thickTop="1" x14ac:dyDescent="0.25">
      <c r="D18" s="1"/>
      <c r="E18" s="1"/>
    </row>
    <row r="19" spans="1:35" s="3" customFormat="1" x14ac:dyDescent="0.25">
      <c r="D19" s="1"/>
      <c r="E19" s="1"/>
    </row>
    <row r="20" spans="1:35" s="3" customFormat="1" x14ac:dyDescent="0.25">
      <c r="D20" s="1"/>
      <c r="E20" s="1"/>
    </row>
    <row r="21" spans="1:35" s="3" customFormat="1" x14ac:dyDescent="0.25">
      <c r="D21" s="1"/>
      <c r="E21" s="1"/>
    </row>
    <row r="22" spans="1:35" s="3" customFormat="1" x14ac:dyDescent="0.25">
      <c r="D22" s="1"/>
      <c r="E22" s="1"/>
    </row>
    <row r="23" spans="1:35" s="3" customFormat="1" x14ac:dyDescent="0.25">
      <c r="D23" s="1"/>
      <c r="E23" s="1"/>
    </row>
    <row r="24" spans="1:35" s="3" customFormat="1" x14ac:dyDescent="0.25">
      <c r="D24" s="1"/>
      <c r="E24" s="1"/>
    </row>
    <row r="25" spans="1:35" s="3" customFormat="1" x14ac:dyDescent="0.25">
      <c r="D25" s="1"/>
      <c r="E25" s="1"/>
    </row>
    <row r="26" spans="1:35" s="3" customFormat="1" x14ac:dyDescent="0.25">
      <c r="D26" s="1"/>
      <c r="E26" s="1"/>
    </row>
    <row r="27" spans="1:35" s="3" customFormat="1" x14ac:dyDescent="0.25">
      <c r="D27" s="1"/>
      <c r="E27" s="1"/>
    </row>
    <row r="28" spans="1:35" s="3" customFormat="1" x14ac:dyDescent="0.25">
      <c r="D28" s="1"/>
      <c r="E28" s="1"/>
    </row>
    <row r="29" spans="1:35" s="3" customFormat="1" x14ac:dyDescent="0.25">
      <c r="D29" s="1"/>
      <c r="E29" s="1"/>
    </row>
    <row r="30" spans="1:35" s="3" customFormat="1" x14ac:dyDescent="0.25">
      <c r="D30" s="1"/>
      <c r="E30" s="1"/>
    </row>
    <row r="31" spans="1:35" s="3" customFormat="1" x14ac:dyDescent="0.25">
      <c r="D31" s="1"/>
      <c r="E31" s="1"/>
    </row>
    <row r="32" spans="1:3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K78"/>
  <sheetViews>
    <sheetView showGridLines="0" topLeftCell="A32" zoomScale="84" zoomScaleNormal="84" workbookViewId="0">
      <selection activeCell="B48" sqref="B48"/>
    </sheetView>
  </sheetViews>
  <sheetFormatPr baseColWidth="10" defaultRowHeight="12.5" x14ac:dyDescent="0.25"/>
  <cols>
    <col min="1" max="1" width="9.81640625" customWidth="1"/>
    <col min="2" max="2" width="31.5429687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76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f>'10 2022'!D71</f>
        <v>12199.190000000008</v>
      </c>
      <c r="E5" s="179"/>
      <c r="F5" s="180">
        <f>'10 2022'!F71</f>
        <v>82.150000000000091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12281.340000000007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170" customFormat="1" ht="12" customHeight="1" x14ac:dyDescent="0.25">
      <c r="A6" s="271">
        <v>44866</v>
      </c>
      <c r="B6" s="222" t="s">
        <v>664</v>
      </c>
      <c r="C6" s="272" t="s">
        <v>145</v>
      </c>
      <c r="D6" s="283"/>
      <c r="E6" s="223"/>
      <c r="F6" s="224"/>
      <c r="G6" s="284">
        <v>100</v>
      </c>
      <c r="H6" s="302"/>
      <c r="I6" s="225"/>
      <c r="J6" s="225"/>
      <c r="K6" s="226"/>
      <c r="L6" s="225"/>
      <c r="M6" s="225"/>
      <c r="N6" s="225"/>
      <c r="O6" s="303"/>
      <c r="P6" s="316"/>
      <c r="Q6" s="227">
        <v>100</v>
      </c>
      <c r="R6" s="227"/>
      <c r="S6" s="227"/>
      <c r="T6" s="227"/>
      <c r="U6" s="228"/>
      <c r="V6" s="227"/>
      <c r="W6" s="229"/>
      <c r="X6" s="227"/>
      <c r="Y6" s="227"/>
      <c r="Z6" s="227"/>
      <c r="AA6" s="317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527" customFormat="1" ht="12" customHeight="1" x14ac:dyDescent="0.25">
      <c r="A7" s="275">
        <v>44867</v>
      </c>
      <c r="B7" s="469" t="s">
        <v>558</v>
      </c>
      <c r="C7" s="276" t="s">
        <v>145</v>
      </c>
      <c r="D7" s="287">
        <v>100</v>
      </c>
      <c r="E7" s="220"/>
      <c r="F7" s="221"/>
      <c r="G7" s="288"/>
      <c r="H7" s="306"/>
      <c r="I7" s="183">
        <v>100</v>
      </c>
      <c r="J7" s="183"/>
      <c r="K7" s="184"/>
      <c r="L7" s="183"/>
      <c r="M7" s="183"/>
      <c r="N7" s="183"/>
      <c r="O7" s="470"/>
      <c r="P7" s="320"/>
      <c r="Q7" s="189"/>
      <c r="R7" s="189"/>
      <c r="S7" s="189"/>
      <c r="T7" s="189"/>
      <c r="U7" s="471"/>
      <c r="V7" s="189"/>
      <c r="W7" s="190"/>
      <c r="X7" s="189"/>
      <c r="Y7" s="189"/>
      <c r="Z7" s="189"/>
      <c r="AA7" s="321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527" customFormat="1" ht="12" customHeight="1" x14ac:dyDescent="0.25">
      <c r="A8" s="275">
        <v>44867</v>
      </c>
      <c r="B8" s="469" t="s">
        <v>665</v>
      </c>
      <c r="C8" s="276" t="s">
        <v>145</v>
      </c>
      <c r="D8" s="287"/>
      <c r="E8" s="220"/>
      <c r="F8" s="221">
        <v>48.95</v>
      </c>
      <c r="G8" s="288"/>
      <c r="H8" s="306">
        <v>48.95</v>
      </c>
      <c r="I8" s="183"/>
      <c r="J8" s="183"/>
      <c r="K8" s="184"/>
      <c r="L8" s="183"/>
      <c r="M8" s="183"/>
      <c r="N8" s="183"/>
      <c r="O8" s="470"/>
      <c r="P8" s="320"/>
      <c r="Q8" s="189"/>
      <c r="R8" s="189"/>
      <c r="S8" s="189"/>
      <c r="T8" s="189"/>
      <c r="U8" s="471"/>
      <c r="V8" s="189"/>
      <c r="W8" s="190"/>
      <c r="X8" s="189"/>
      <c r="Y8" s="189"/>
      <c r="Z8" s="189"/>
      <c r="AA8" s="321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527" customFormat="1" ht="12" customHeight="1" x14ac:dyDescent="0.25">
      <c r="A9" s="275">
        <v>44868</v>
      </c>
      <c r="B9" s="531" t="s">
        <v>666</v>
      </c>
      <c r="C9" s="276" t="s">
        <v>145</v>
      </c>
      <c r="D9" s="287"/>
      <c r="E9" s="220">
        <v>2000</v>
      </c>
      <c r="F9" s="221"/>
      <c r="G9" s="288"/>
      <c r="H9" s="306"/>
      <c r="I9" s="183"/>
      <c r="J9" s="183"/>
      <c r="K9" s="184"/>
      <c r="L9" s="183"/>
      <c r="M9" s="183"/>
      <c r="N9" s="183"/>
      <c r="O9" s="470"/>
      <c r="P9" s="320"/>
      <c r="Q9" s="189"/>
      <c r="R9" s="189"/>
      <c r="S9" s="189"/>
      <c r="T9" s="189"/>
      <c r="U9" s="471"/>
      <c r="V9" s="189"/>
      <c r="W9" s="190"/>
      <c r="X9" s="189"/>
      <c r="Y9" s="189"/>
      <c r="Z9" s="189">
        <v>2000</v>
      </c>
      <c r="AA9" s="321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527" customFormat="1" ht="12" customHeight="1" x14ac:dyDescent="0.25">
      <c r="A10" s="275">
        <v>44868</v>
      </c>
      <c r="B10" s="531" t="s">
        <v>667</v>
      </c>
      <c r="C10" s="276" t="s">
        <v>145</v>
      </c>
      <c r="D10" s="287"/>
      <c r="E10" s="220">
        <v>2000</v>
      </c>
      <c r="F10" s="221"/>
      <c r="G10" s="288"/>
      <c r="H10" s="306"/>
      <c r="I10" s="183"/>
      <c r="J10" s="183"/>
      <c r="K10" s="184"/>
      <c r="L10" s="183"/>
      <c r="M10" s="183"/>
      <c r="N10" s="183"/>
      <c r="O10" s="470"/>
      <c r="P10" s="320"/>
      <c r="Q10" s="189"/>
      <c r="R10" s="189"/>
      <c r="S10" s="189"/>
      <c r="T10" s="189"/>
      <c r="U10" s="471"/>
      <c r="V10" s="189"/>
      <c r="W10" s="190"/>
      <c r="X10" s="189"/>
      <c r="Y10" s="189"/>
      <c r="Z10" s="189">
        <v>2000</v>
      </c>
      <c r="AA10" s="321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170" customFormat="1" ht="12" customHeight="1" x14ac:dyDescent="0.25">
      <c r="A11" s="273">
        <v>44868</v>
      </c>
      <c r="B11" s="231" t="s">
        <v>138</v>
      </c>
      <c r="C11" s="274" t="s">
        <v>145</v>
      </c>
      <c r="D11" s="285"/>
      <c r="E11" s="218">
        <v>10.44</v>
      </c>
      <c r="F11" s="219"/>
      <c r="G11" s="286"/>
      <c r="H11" s="304"/>
      <c r="I11" s="185"/>
      <c r="J11" s="185"/>
      <c r="K11" s="186"/>
      <c r="L11" s="185"/>
      <c r="M11" s="185"/>
      <c r="N11" s="185"/>
      <c r="O11" s="305"/>
      <c r="P11" s="318"/>
      <c r="Q11" s="191"/>
      <c r="R11" s="191"/>
      <c r="S11" s="191"/>
      <c r="T11" s="191"/>
      <c r="U11" s="232"/>
      <c r="V11" s="191"/>
      <c r="W11" s="192">
        <v>10.44</v>
      </c>
      <c r="X11" s="191"/>
      <c r="Y11" s="191"/>
      <c r="Z11" s="191"/>
      <c r="AA11" s="319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170" customFormat="1" ht="12" customHeight="1" x14ac:dyDescent="0.25">
      <c r="A12" s="273">
        <v>44869</v>
      </c>
      <c r="B12" s="231" t="s">
        <v>146</v>
      </c>
      <c r="C12" s="274" t="s">
        <v>145</v>
      </c>
      <c r="D12" s="285"/>
      <c r="E12" s="218">
        <v>29.99</v>
      </c>
      <c r="F12" s="219"/>
      <c r="G12" s="286"/>
      <c r="H12" s="304"/>
      <c r="I12" s="185"/>
      <c r="J12" s="185"/>
      <c r="K12" s="186"/>
      <c r="L12" s="185"/>
      <c r="M12" s="185"/>
      <c r="N12" s="185"/>
      <c r="O12" s="305"/>
      <c r="P12" s="318"/>
      <c r="Q12" s="191"/>
      <c r="R12" s="191"/>
      <c r="S12" s="191"/>
      <c r="T12" s="191"/>
      <c r="U12" s="232"/>
      <c r="V12" s="191">
        <v>29.99</v>
      </c>
      <c r="W12" s="192"/>
      <c r="X12" s="191"/>
      <c r="Y12" s="191"/>
      <c r="Z12" s="191"/>
      <c r="AA12" s="319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170" customFormat="1" ht="12" customHeight="1" x14ac:dyDescent="0.25">
      <c r="A13" s="273">
        <v>44870</v>
      </c>
      <c r="B13" s="231" t="s">
        <v>668</v>
      </c>
      <c r="C13" s="274" t="s">
        <v>145</v>
      </c>
      <c r="D13" s="285"/>
      <c r="E13" s="218"/>
      <c r="F13" s="219">
        <v>15</v>
      </c>
      <c r="G13" s="286"/>
      <c r="H13" s="304"/>
      <c r="I13" s="185"/>
      <c r="J13" s="185"/>
      <c r="K13" s="186">
        <v>15</v>
      </c>
      <c r="L13" s="185"/>
      <c r="M13" s="185"/>
      <c r="N13" s="185"/>
      <c r="O13" s="305"/>
      <c r="P13" s="318"/>
      <c r="Q13" s="191"/>
      <c r="R13" s="191"/>
      <c r="S13" s="191"/>
      <c r="T13" s="191"/>
      <c r="U13" s="232"/>
      <c r="V13" s="191"/>
      <c r="W13" s="192"/>
      <c r="X13" s="191"/>
      <c r="Y13" s="191"/>
      <c r="Z13" s="191"/>
      <c r="AA13" s="319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170" customFormat="1" ht="12" customHeight="1" x14ac:dyDescent="0.25">
      <c r="A14" s="273">
        <v>44870</v>
      </c>
      <c r="B14" s="231" t="s">
        <v>669</v>
      </c>
      <c r="C14" s="274" t="s">
        <v>145</v>
      </c>
      <c r="D14" s="285">
        <v>205.1</v>
      </c>
      <c r="E14" s="218"/>
      <c r="F14" s="219"/>
      <c r="G14" s="286"/>
      <c r="H14" s="304"/>
      <c r="I14" s="185"/>
      <c r="J14" s="185"/>
      <c r="K14" s="186">
        <v>205.1</v>
      </c>
      <c r="L14" s="185"/>
      <c r="M14" s="185"/>
      <c r="N14" s="185"/>
      <c r="O14" s="305"/>
      <c r="P14" s="318"/>
      <c r="Q14" s="191"/>
      <c r="R14" s="191"/>
      <c r="S14" s="191"/>
      <c r="T14" s="191"/>
      <c r="U14" s="232"/>
      <c r="V14" s="191"/>
      <c r="W14" s="192"/>
      <c r="X14" s="191"/>
      <c r="Y14" s="191"/>
      <c r="Z14" s="191"/>
      <c r="AA14" s="319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170" customFormat="1" ht="12" customHeight="1" x14ac:dyDescent="0.25">
      <c r="A15" s="273">
        <v>44870</v>
      </c>
      <c r="B15" s="231" t="s">
        <v>669</v>
      </c>
      <c r="C15" s="274" t="s">
        <v>145</v>
      </c>
      <c r="D15" s="285"/>
      <c r="E15" s="218"/>
      <c r="F15" s="219">
        <v>13.7</v>
      </c>
      <c r="G15" s="286"/>
      <c r="H15" s="304"/>
      <c r="I15" s="185"/>
      <c r="J15" s="185"/>
      <c r="K15" s="186">
        <v>13.7</v>
      </c>
      <c r="L15" s="185"/>
      <c r="M15" s="185"/>
      <c r="N15" s="185"/>
      <c r="O15" s="305"/>
      <c r="P15" s="318"/>
      <c r="Q15" s="191"/>
      <c r="R15" s="191"/>
      <c r="S15" s="191"/>
      <c r="T15" s="191"/>
      <c r="U15" s="232"/>
      <c r="V15" s="191"/>
      <c r="W15" s="192"/>
      <c r="X15" s="191"/>
      <c r="Y15" s="191"/>
      <c r="Z15" s="191"/>
      <c r="AA15" s="319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170" customFormat="1" ht="12" customHeight="1" x14ac:dyDescent="0.25">
      <c r="A16" s="273">
        <v>44870</v>
      </c>
      <c r="B16" s="231" t="s">
        <v>670</v>
      </c>
      <c r="C16" s="274" t="s">
        <v>145</v>
      </c>
      <c r="D16" s="285"/>
      <c r="E16" s="218"/>
      <c r="F16" s="219">
        <v>107</v>
      </c>
      <c r="G16" s="286"/>
      <c r="H16" s="304"/>
      <c r="I16" s="185"/>
      <c r="J16" s="185"/>
      <c r="K16" s="186">
        <v>107</v>
      </c>
      <c r="L16" s="185"/>
      <c r="M16" s="185"/>
      <c r="N16" s="185"/>
      <c r="O16" s="305"/>
      <c r="P16" s="318"/>
      <c r="Q16" s="191"/>
      <c r="R16" s="191"/>
      <c r="S16" s="191"/>
      <c r="T16" s="191"/>
      <c r="U16" s="232"/>
      <c r="V16" s="191"/>
      <c r="W16" s="192"/>
      <c r="X16" s="191"/>
      <c r="Y16" s="191"/>
      <c r="Z16" s="191"/>
      <c r="AA16" s="319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170" customFormat="1" ht="12" customHeight="1" x14ac:dyDescent="0.25">
      <c r="A17" s="273">
        <v>44870</v>
      </c>
      <c r="B17" s="231" t="s">
        <v>677</v>
      </c>
      <c r="C17" s="274" t="s">
        <v>145</v>
      </c>
      <c r="D17" s="285"/>
      <c r="E17" s="218"/>
      <c r="F17" s="219"/>
      <c r="G17" s="286">
        <v>15</v>
      </c>
      <c r="H17" s="304"/>
      <c r="I17" s="185"/>
      <c r="J17" s="185"/>
      <c r="K17" s="186"/>
      <c r="L17" s="185"/>
      <c r="M17" s="185"/>
      <c r="N17" s="185"/>
      <c r="O17" s="305"/>
      <c r="P17" s="318"/>
      <c r="Q17" s="191"/>
      <c r="R17" s="191"/>
      <c r="S17" s="191">
        <v>15</v>
      </c>
      <c r="T17" s="191"/>
      <c r="U17" s="232"/>
      <c r="V17" s="191"/>
      <c r="W17" s="192"/>
      <c r="X17" s="191"/>
      <c r="Y17" s="191"/>
      <c r="Z17" s="191"/>
      <c r="AA17" s="319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170" customFormat="1" ht="12" customHeight="1" x14ac:dyDescent="0.25">
      <c r="A18" s="273">
        <v>44870</v>
      </c>
      <c r="B18" s="231" t="s">
        <v>306</v>
      </c>
      <c r="C18" s="274" t="s">
        <v>145</v>
      </c>
      <c r="D18" s="285">
        <v>131.88</v>
      </c>
      <c r="E18" s="218"/>
      <c r="F18" s="219"/>
      <c r="G18" s="286"/>
      <c r="H18" s="304"/>
      <c r="I18" s="185">
        <v>131.88</v>
      </c>
      <c r="J18" s="185"/>
      <c r="K18" s="186"/>
      <c r="L18" s="185"/>
      <c r="M18" s="185"/>
      <c r="N18" s="185"/>
      <c r="O18" s="305"/>
      <c r="P18" s="318"/>
      <c r="Q18" s="191"/>
      <c r="R18" s="191"/>
      <c r="S18" s="191"/>
      <c r="T18" s="191"/>
      <c r="U18" s="232"/>
      <c r="V18" s="191"/>
      <c r="W18" s="192"/>
      <c r="X18" s="191"/>
      <c r="Y18" s="191"/>
      <c r="Z18" s="191"/>
      <c r="AA18" s="319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170" customFormat="1" ht="12" customHeight="1" x14ac:dyDescent="0.25">
      <c r="A19" s="273">
        <v>44872</v>
      </c>
      <c r="B19" s="231" t="s">
        <v>283</v>
      </c>
      <c r="C19" s="274" t="s">
        <v>145</v>
      </c>
      <c r="D19" s="285">
        <v>144</v>
      </c>
      <c r="E19" s="218"/>
      <c r="F19" s="219"/>
      <c r="G19" s="286"/>
      <c r="H19" s="304"/>
      <c r="I19" s="185">
        <v>144</v>
      </c>
      <c r="J19" s="185"/>
      <c r="K19" s="186"/>
      <c r="L19" s="185"/>
      <c r="M19" s="185"/>
      <c r="N19" s="185"/>
      <c r="O19" s="305"/>
      <c r="P19" s="318"/>
      <c r="Q19" s="191"/>
      <c r="R19" s="191"/>
      <c r="S19" s="191"/>
      <c r="T19" s="191"/>
      <c r="U19" s="232"/>
      <c r="V19" s="191"/>
      <c r="W19" s="192"/>
      <c r="X19" s="191"/>
      <c r="Y19" s="191"/>
      <c r="Z19" s="191"/>
      <c r="AA19" s="319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170" customFormat="1" ht="12" customHeight="1" x14ac:dyDescent="0.25">
      <c r="A20" s="273">
        <v>44874</v>
      </c>
      <c r="B20" s="231" t="s">
        <v>475</v>
      </c>
      <c r="C20" s="274" t="s">
        <v>145</v>
      </c>
      <c r="D20" s="285">
        <v>70.959999999999994</v>
      </c>
      <c r="E20" s="218"/>
      <c r="F20" s="219"/>
      <c r="G20" s="286"/>
      <c r="H20" s="304"/>
      <c r="I20" s="185">
        <v>70.959999999999994</v>
      </c>
      <c r="J20" s="185"/>
      <c r="K20" s="186"/>
      <c r="L20" s="185"/>
      <c r="M20" s="185"/>
      <c r="N20" s="185"/>
      <c r="O20" s="305"/>
      <c r="P20" s="318"/>
      <c r="Q20" s="191"/>
      <c r="R20" s="191"/>
      <c r="S20" s="191"/>
      <c r="T20" s="191"/>
      <c r="U20" s="232"/>
      <c r="V20" s="191"/>
      <c r="W20" s="192"/>
      <c r="X20" s="191"/>
      <c r="Y20" s="191"/>
      <c r="Z20" s="191"/>
      <c r="AA20" s="319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170" customFormat="1" ht="12" customHeight="1" x14ac:dyDescent="0.25">
      <c r="A21" s="273">
        <v>44876</v>
      </c>
      <c r="B21" s="231" t="s">
        <v>351</v>
      </c>
      <c r="C21" s="274" t="s">
        <v>145</v>
      </c>
      <c r="D21" s="285">
        <v>50</v>
      </c>
      <c r="E21" s="218"/>
      <c r="F21" s="219"/>
      <c r="G21" s="286"/>
      <c r="H21" s="304"/>
      <c r="I21" s="185">
        <v>50</v>
      </c>
      <c r="J21" s="185"/>
      <c r="K21" s="186"/>
      <c r="L21" s="185"/>
      <c r="M21" s="185"/>
      <c r="N21" s="185"/>
      <c r="O21" s="305"/>
      <c r="P21" s="318"/>
      <c r="Q21" s="191"/>
      <c r="R21" s="191"/>
      <c r="S21" s="191"/>
      <c r="T21" s="191"/>
      <c r="U21" s="232"/>
      <c r="V21" s="191"/>
      <c r="W21" s="192"/>
      <c r="X21" s="191"/>
      <c r="Y21" s="191"/>
      <c r="Z21" s="191"/>
      <c r="AA21" s="319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170" customFormat="1" ht="12" customHeight="1" x14ac:dyDescent="0.25">
      <c r="A22" s="273">
        <v>44877</v>
      </c>
      <c r="B22" s="231" t="s">
        <v>312</v>
      </c>
      <c r="C22" s="274" t="s">
        <v>145</v>
      </c>
      <c r="D22" s="285">
        <v>40</v>
      </c>
      <c r="E22" s="218"/>
      <c r="F22" s="219"/>
      <c r="G22" s="286"/>
      <c r="H22" s="304"/>
      <c r="I22" s="185">
        <v>40</v>
      </c>
      <c r="J22" s="185"/>
      <c r="K22" s="186"/>
      <c r="L22" s="185"/>
      <c r="M22" s="185"/>
      <c r="N22" s="185"/>
      <c r="O22" s="305"/>
      <c r="P22" s="318"/>
      <c r="Q22" s="191"/>
      <c r="R22" s="191"/>
      <c r="S22" s="191"/>
      <c r="T22" s="191"/>
      <c r="U22" s="232"/>
      <c r="V22" s="191"/>
      <c r="W22" s="192"/>
      <c r="X22" s="191"/>
      <c r="Y22" s="191"/>
      <c r="Z22" s="191"/>
      <c r="AA22" s="319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527" customFormat="1" ht="12" customHeight="1" x14ac:dyDescent="0.25">
      <c r="A23" s="511">
        <v>44880</v>
      </c>
      <c r="B23" s="512" t="s">
        <v>678</v>
      </c>
      <c r="C23" s="513" t="s">
        <v>145</v>
      </c>
      <c r="D23" s="514">
        <v>121</v>
      </c>
      <c r="E23" s="515"/>
      <c r="F23" s="516"/>
      <c r="G23" s="517"/>
      <c r="H23" s="518"/>
      <c r="I23" s="519"/>
      <c r="J23" s="519"/>
      <c r="K23" s="520">
        <v>121</v>
      </c>
      <c r="L23" s="519"/>
      <c r="M23" s="519"/>
      <c r="N23" s="519"/>
      <c r="O23" s="521"/>
      <c r="P23" s="522"/>
      <c r="Q23" s="523"/>
      <c r="R23" s="523"/>
      <c r="S23" s="523"/>
      <c r="T23" s="523"/>
      <c r="U23" s="524"/>
      <c r="V23" s="523"/>
      <c r="W23" s="525"/>
      <c r="X23" s="523"/>
      <c r="Y23" s="523"/>
      <c r="Z23" s="523"/>
      <c r="AA23" s="526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527" customFormat="1" ht="12" customHeight="1" x14ac:dyDescent="0.25">
      <c r="A24" s="511">
        <v>44880</v>
      </c>
      <c r="B24" s="512" t="s">
        <v>679</v>
      </c>
      <c r="C24" s="513" t="s">
        <v>145</v>
      </c>
      <c r="D24" s="514">
        <v>23</v>
      </c>
      <c r="E24" s="515"/>
      <c r="F24" s="516"/>
      <c r="G24" s="517"/>
      <c r="H24" s="518"/>
      <c r="I24" s="519"/>
      <c r="J24" s="519"/>
      <c r="K24" s="520">
        <v>23</v>
      </c>
      <c r="L24" s="519"/>
      <c r="M24" s="519"/>
      <c r="N24" s="519"/>
      <c r="O24" s="521"/>
      <c r="P24" s="522"/>
      <c r="Q24" s="523"/>
      <c r="R24" s="523"/>
      <c r="S24" s="523"/>
      <c r="T24" s="523"/>
      <c r="U24" s="524"/>
      <c r="V24" s="523"/>
      <c r="W24" s="525"/>
      <c r="X24" s="523"/>
      <c r="Y24" s="523"/>
      <c r="Z24" s="523"/>
      <c r="AA24" s="526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527" customFormat="1" ht="12" customHeight="1" x14ac:dyDescent="0.25">
      <c r="A25" s="511">
        <v>44880</v>
      </c>
      <c r="B25" s="512" t="s">
        <v>680</v>
      </c>
      <c r="C25" s="513" t="s">
        <v>145</v>
      </c>
      <c r="D25" s="514"/>
      <c r="E25" s="515"/>
      <c r="F25" s="516">
        <v>24.5</v>
      </c>
      <c r="G25" s="517"/>
      <c r="H25" s="518"/>
      <c r="I25" s="519"/>
      <c r="J25" s="519"/>
      <c r="K25" s="520">
        <v>24.5</v>
      </c>
      <c r="L25" s="519"/>
      <c r="M25" s="519"/>
      <c r="N25" s="519"/>
      <c r="O25" s="521"/>
      <c r="P25" s="522"/>
      <c r="Q25" s="523"/>
      <c r="R25" s="523"/>
      <c r="S25" s="523"/>
      <c r="T25" s="523"/>
      <c r="U25" s="524"/>
      <c r="V25" s="523"/>
      <c r="W25" s="525"/>
      <c r="X25" s="523"/>
      <c r="Y25" s="523"/>
      <c r="Z25" s="523"/>
      <c r="AA25" s="526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527" customFormat="1" ht="12" customHeight="1" x14ac:dyDescent="0.25">
      <c r="A26" s="511">
        <v>44880</v>
      </c>
      <c r="B26" s="512" t="s">
        <v>681</v>
      </c>
      <c r="C26" s="513" t="s">
        <v>145</v>
      </c>
      <c r="D26" s="514"/>
      <c r="E26" s="515"/>
      <c r="F26" s="516">
        <v>44.5</v>
      </c>
      <c r="G26" s="517"/>
      <c r="H26" s="518"/>
      <c r="I26" s="519"/>
      <c r="J26" s="519"/>
      <c r="K26" s="520">
        <v>44.5</v>
      </c>
      <c r="L26" s="519"/>
      <c r="M26" s="519"/>
      <c r="N26" s="519"/>
      <c r="O26" s="521"/>
      <c r="P26" s="522"/>
      <c r="Q26" s="523"/>
      <c r="R26" s="523"/>
      <c r="S26" s="523"/>
      <c r="T26" s="523"/>
      <c r="U26" s="524"/>
      <c r="V26" s="523"/>
      <c r="W26" s="525"/>
      <c r="X26" s="523"/>
      <c r="Y26" s="523"/>
      <c r="Z26" s="523"/>
      <c r="AA26" s="526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527" customFormat="1" ht="12" customHeight="1" x14ac:dyDescent="0.25">
      <c r="A27" s="511">
        <v>44880</v>
      </c>
      <c r="B27" s="512" t="s">
        <v>682</v>
      </c>
      <c r="C27" s="513" t="s">
        <v>145</v>
      </c>
      <c r="D27" s="514">
        <v>43.5</v>
      </c>
      <c r="E27" s="515"/>
      <c r="F27" s="516"/>
      <c r="G27" s="517"/>
      <c r="H27" s="518"/>
      <c r="I27" s="519"/>
      <c r="J27" s="519"/>
      <c r="K27" s="520">
        <v>43.5</v>
      </c>
      <c r="L27" s="519"/>
      <c r="M27" s="519"/>
      <c r="N27" s="519"/>
      <c r="O27" s="521"/>
      <c r="P27" s="522"/>
      <c r="Q27" s="523"/>
      <c r="R27" s="523"/>
      <c r="S27" s="523"/>
      <c r="T27" s="523"/>
      <c r="U27" s="524"/>
      <c r="V27" s="523"/>
      <c r="W27" s="525"/>
      <c r="X27" s="523"/>
      <c r="Y27" s="523"/>
      <c r="Z27" s="523"/>
      <c r="AA27" s="526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527" customFormat="1" ht="12" customHeight="1" x14ac:dyDescent="0.25">
      <c r="A28" s="511">
        <v>44880</v>
      </c>
      <c r="B28" s="512" t="s">
        <v>708</v>
      </c>
      <c r="C28" s="513" t="s">
        <v>145</v>
      </c>
      <c r="D28" s="514">
        <v>18</v>
      </c>
      <c r="E28" s="515"/>
      <c r="F28" s="516"/>
      <c r="G28" s="517"/>
      <c r="H28" s="518"/>
      <c r="I28" s="519"/>
      <c r="J28" s="519"/>
      <c r="K28" s="520">
        <v>18</v>
      </c>
      <c r="L28" s="519"/>
      <c r="M28" s="519"/>
      <c r="N28" s="519"/>
      <c r="O28" s="521"/>
      <c r="P28" s="522"/>
      <c r="Q28" s="523"/>
      <c r="R28" s="523"/>
      <c r="S28" s="523"/>
      <c r="T28" s="523"/>
      <c r="U28" s="524"/>
      <c r="V28" s="523"/>
      <c r="W28" s="525"/>
      <c r="X28" s="523"/>
      <c r="Y28" s="523"/>
      <c r="Z28" s="523"/>
      <c r="AA28" s="526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527" customFormat="1" ht="12" customHeight="1" x14ac:dyDescent="0.25">
      <c r="A29" s="511">
        <v>44880</v>
      </c>
      <c r="B29" s="512" t="s">
        <v>683</v>
      </c>
      <c r="C29" s="513" t="s">
        <v>145</v>
      </c>
      <c r="D29" s="514">
        <v>28</v>
      </c>
      <c r="E29" s="515"/>
      <c r="F29" s="516"/>
      <c r="G29" s="517"/>
      <c r="H29" s="518"/>
      <c r="I29" s="519"/>
      <c r="J29" s="519"/>
      <c r="K29" s="520">
        <v>28</v>
      </c>
      <c r="L29" s="519"/>
      <c r="M29" s="519"/>
      <c r="N29" s="519"/>
      <c r="O29" s="521"/>
      <c r="P29" s="522"/>
      <c r="Q29" s="523"/>
      <c r="R29" s="523"/>
      <c r="S29" s="523"/>
      <c r="T29" s="523"/>
      <c r="U29" s="524"/>
      <c r="V29" s="523"/>
      <c r="W29" s="525"/>
      <c r="X29" s="523"/>
      <c r="Y29" s="523"/>
      <c r="Z29" s="523"/>
      <c r="AA29" s="526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527" customFormat="1" ht="12" customHeight="1" x14ac:dyDescent="0.25">
      <c r="A30" s="511">
        <v>44880</v>
      </c>
      <c r="B30" s="512" t="s">
        <v>684</v>
      </c>
      <c r="C30" s="513" t="s">
        <v>145</v>
      </c>
      <c r="D30" s="514"/>
      <c r="E30" s="515"/>
      <c r="F30" s="516">
        <v>29.5</v>
      </c>
      <c r="G30" s="517"/>
      <c r="H30" s="518"/>
      <c r="I30" s="519"/>
      <c r="J30" s="519"/>
      <c r="K30" s="520">
        <v>29.5</v>
      </c>
      <c r="L30" s="519"/>
      <c r="M30" s="519"/>
      <c r="N30" s="519"/>
      <c r="O30" s="521"/>
      <c r="P30" s="522"/>
      <c r="Q30" s="523"/>
      <c r="R30" s="523"/>
      <c r="S30" s="523"/>
      <c r="T30" s="523"/>
      <c r="U30" s="524"/>
      <c r="V30" s="523"/>
      <c r="W30" s="525"/>
      <c r="X30" s="523"/>
      <c r="Y30" s="523"/>
      <c r="Z30" s="523"/>
      <c r="AA30" s="526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527" customFormat="1" ht="12" customHeight="1" x14ac:dyDescent="0.25">
      <c r="A31" s="511">
        <v>44880</v>
      </c>
      <c r="B31" s="512" t="s">
        <v>685</v>
      </c>
      <c r="C31" s="513" t="s">
        <v>145</v>
      </c>
      <c r="D31" s="514"/>
      <c r="E31" s="515"/>
      <c r="F31" s="516">
        <v>102</v>
      </c>
      <c r="G31" s="517"/>
      <c r="H31" s="518"/>
      <c r="I31" s="519"/>
      <c r="J31" s="519"/>
      <c r="K31" s="520">
        <v>102</v>
      </c>
      <c r="L31" s="519"/>
      <c r="M31" s="519"/>
      <c r="N31" s="519"/>
      <c r="O31" s="521"/>
      <c r="P31" s="522"/>
      <c r="Q31" s="523"/>
      <c r="R31" s="523"/>
      <c r="S31" s="523"/>
      <c r="T31" s="523"/>
      <c r="U31" s="524"/>
      <c r="V31" s="523"/>
      <c r="W31" s="525"/>
      <c r="X31" s="523"/>
      <c r="Y31" s="523"/>
      <c r="Z31" s="523"/>
      <c r="AA31" s="526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527" customFormat="1" ht="12" customHeight="1" x14ac:dyDescent="0.25">
      <c r="A32" s="511">
        <v>44880</v>
      </c>
      <c r="B32" s="512" t="s">
        <v>683</v>
      </c>
      <c r="C32" s="513" t="s">
        <v>145</v>
      </c>
      <c r="D32" s="514"/>
      <c r="E32" s="515"/>
      <c r="F32" s="516">
        <v>4</v>
      </c>
      <c r="G32" s="517"/>
      <c r="H32" s="518"/>
      <c r="I32" s="519"/>
      <c r="J32" s="519"/>
      <c r="K32" s="520">
        <v>4</v>
      </c>
      <c r="L32" s="519"/>
      <c r="M32" s="519"/>
      <c r="N32" s="519"/>
      <c r="O32" s="521"/>
      <c r="P32" s="522"/>
      <c r="Q32" s="523"/>
      <c r="R32" s="523"/>
      <c r="S32" s="523"/>
      <c r="T32" s="523"/>
      <c r="U32" s="524"/>
      <c r="V32" s="523"/>
      <c r="W32" s="525"/>
      <c r="X32" s="523"/>
      <c r="Y32" s="523"/>
      <c r="Z32" s="523"/>
      <c r="AA32" s="526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527" customFormat="1" ht="12" customHeight="1" x14ac:dyDescent="0.25">
      <c r="A33" s="511">
        <v>44880</v>
      </c>
      <c r="B33" s="512" t="s">
        <v>686</v>
      </c>
      <c r="C33" s="513" t="s">
        <v>145</v>
      </c>
      <c r="D33" s="514"/>
      <c r="E33" s="515"/>
      <c r="F33" s="516">
        <v>13.5</v>
      </c>
      <c r="G33" s="517"/>
      <c r="H33" s="518"/>
      <c r="I33" s="519"/>
      <c r="J33" s="519"/>
      <c r="K33" s="520">
        <v>13.5</v>
      </c>
      <c r="L33" s="519"/>
      <c r="M33" s="519"/>
      <c r="N33" s="519"/>
      <c r="O33" s="521"/>
      <c r="P33" s="522"/>
      <c r="Q33" s="523"/>
      <c r="R33" s="523"/>
      <c r="S33" s="523"/>
      <c r="T33" s="523"/>
      <c r="U33" s="524"/>
      <c r="V33" s="523"/>
      <c r="W33" s="525"/>
      <c r="X33" s="523"/>
      <c r="Y33" s="523"/>
      <c r="Z33" s="523"/>
      <c r="AA33" s="526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527" customFormat="1" ht="12" customHeight="1" x14ac:dyDescent="0.25">
      <c r="A34" s="511">
        <v>44880</v>
      </c>
      <c r="B34" s="512" t="s">
        <v>683</v>
      </c>
      <c r="C34" s="513" t="s">
        <v>145</v>
      </c>
      <c r="D34" s="514"/>
      <c r="E34" s="515"/>
      <c r="F34" s="516">
        <v>28</v>
      </c>
      <c r="G34" s="517"/>
      <c r="H34" s="518"/>
      <c r="I34" s="519"/>
      <c r="J34" s="519"/>
      <c r="K34" s="520">
        <v>28</v>
      </c>
      <c r="L34" s="519"/>
      <c r="M34" s="519"/>
      <c r="N34" s="519"/>
      <c r="O34" s="521"/>
      <c r="P34" s="522"/>
      <c r="Q34" s="523"/>
      <c r="R34" s="523"/>
      <c r="S34" s="523"/>
      <c r="T34" s="523"/>
      <c r="U34" s="524"/>
      <c r="V34" s="523"/>
      <c r="W34" s="525"/>
      <c r="X34" s="523"/>
      <c r="Y34" s="523"/>
      <c r="Z34" s="523"/>
      <c r="AA34" s="526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527" customFormat="1" ht="12" customHeight="1" x14ac:dyDescent="0.25">
      <c r="A35" s="511">
        <v>44880</v>
      </c>
      <c r="B35" s="512" t="s">
        <v>687</v>
      </c>
      <c r="C35" s="513" t="s">
        <v>145</v>
      </c>
      <c r="D35" s="514"/>
      <c r="E35" s="515"/>
      <c r="F35" s="516">
        <v>4</v>
      </c>
      <c r="G35" s="517"/>
      <c r="H35" s="518"/>
      <c r="I35" s="519"/>
      <c r="J35" s="519"/>
      <c r="K35" s="520">
        <v>4</v>
      </c>
      <c r="L35" s="519"/>
      <c r="M35" s="519"/>
      <c r="N35" s="519"/>
      <c r="O35" s="521"/>
      <c r="P35" s="522"/>
      <c r="Q35" s="523"/>
      <c r="R35" s="523"/>
      <c r="S35" s="523"/>
      <c r="T35" s="523"/>
      <c r="U35" s="524"/>
      <c r="V35" s="523"/>
      <c r="W35" s="525"/>
      <c r="X35" s="523"/>
      <c r="Y35" s="523"/>
      <c r="Z35" s="523"/>
      <c r="AA35" s="526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527" customFormat="1" ht="12" customHeight="1" x14ac:dyDescent="0.25">
      <c r="A36" s="511">
        <v>44880</v>
      </c>
      <c r="B36" s="512" t="s">
        <v>688</v>
      </c>
      <c r="C36" s="513" t="s">
        <v>145</v>
      </c>
      <c r="D36" s="514"/>
      <c r="E36" s="515"/>
      <c r="F36" s="516">
        <v>17.5</v>
      </c>
      <c r="G36" s="517"/>
      <c r="H36" s="518"/>
      <c r="I36" s="519"/>
      <c r="J36" s="519"/>
      <c r="K36" s="520">
        <v>17.5</v>
      </c>
      <c r="L36" s="519"/>
      <c r="M36" s="519"/>
      <c r="N36" s="519"/>
      <c r="O36" s="521"/>
      <c r="P36" s="522"/>
      <c r="Q36" s="523"/>
      <c r="R36" s="523"/>
      <c r="S36" s="523"/>
      <c r="T36" s="523"/>
      <c r="U36" s="524"/>
      <c r="V36" s="523"/>
      <c r="W36" s="525"/>
      <c r="X36" s="523"/>
      <c r="Y36" s="523"/>
      <c r="Z36" s="523"/>
      <c r="AA36" s="526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527" customFormat="1" ht="12" customHeight="1" x14ac:dyDescent="0.25">
      <c r="A37" s="511">
        <v>44880</v>
      </c>
      <c r="B37" s="512" t="s">
        <v>689</v>
      </c>
      <c r="C37" s="513" t="s">
        <v>145</v>
      </c>
      <c r="D37" s="514"/>
      <c r="E37" s="515"/>
      <c r="F37" s="516"/>
      <c r="G37" s="517">
        <v>5.3</v>
      </c>
      <c r="H37" s="518"/>
      <c r="I37" s="519"/>
      <c r="J37" s="519"/>
      <c r="K37" s="520"/>
      <c r="L37" s="519"/>
      <c r="M37" s="519"/>
      <c r="N37" s="519"/>
      <c r="O37" s="521"/>
      <c r="P37" s="522"/>
      <c r="Q37" s="523"/>
      <c r="R37" s="523"/>
      <c r="S37" s="523">
        <v>5.3</v>
      </c>
      <c r="T37" s="523"/>
      <c r="U37" s="524"/>
      <c r="V37" s="523"/>
      <c r="W37" s="525"/>
      <c r="X37" s="523"/>
      <c r="Y37" s="523"/>
      <c r="Z37" s="523"/>
      <c r="AA37" s="526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170" customFormat="1" ht="12" customHeight="1" x14ac:dyDescent="0.25">
      <c r="A38" s="273">
        <v>44880</v>
      </c>
      <c r="B38" s="231" t="s">
        <v>141</v>
      </c>
      <c r="C38" s="274" t="s">
        <v>145</v>
      </c>
      <c r="D38" s="285">
        <v>50</v>
      </c>
      <c r="E38" s="218"/>
      <c r="F38" s="219"/>
      <c r="G38" s="286"/>
      <c r="H38" s="304"/>
      <c r="I38" s="185">
        <v>50</v>
      </c>
      <c r="J38" s="185"/>
      <c r="K38" s="186"/>
      <c r="L38" s="185"/>
      <c r="M38" s="185"/>
      <c r="N38" s="185"/>
      <c r="O38" s="305"/>
      <c r="P38" s="318"/>
      <c r="Q38" s="191"/>
      <c r="R38" s="191"/>
      <c r="S38" s="191"/>
      <c r="T38" s="191"/>
      <c r="U38" s="232"/>
      <c r="V38" s="191"/>
      <c r="W38" s="192"/>
      <c r="X38" s="191"/>
      <c r="Y38" s="191"/>
      <c r="Z38" s="191"/>
      <c r="AA38" s="319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170" customFormat="1" ht="12" customHeight="1" x14ac:dyDescent="0.25">
      <c r="A39" s="273">
        <v>44880</v>
      </c>
      <c r="B39" s="231" t="s">
        <v>671</v>
      </c>
      <c r="C39" s="274" t="s">
        <v>145</v>
      </c>
      <c r="D39" s="285"/>
      <c r="E39" s="218">
        <v>300</v>
      </c>
      <c r="F39" s="219"/>
      <c r="G39" s="286"/>
      <c r="H39" s="304"/>
      <c r="I39" s="185"/>
      <c r="J39" s="185"/>
      <c r="K39" s="186"/>
      <c r="L39" s="185"/>
      <c r="M39" s="185"/>
      <c r="N39" s="185"/>
      <c r="O39" s="305"/>
      <c r="P39" s="318"/>
      <c r="Q39" s="191"/>
      <c r="R39" s="191"/>
      <c r="S39" s="191"/>
      <c r="T39" s="191">
        <v>300</v>
      </c>
      <c r="U39" s="232"/>
      <c r="V39" s="191"/>
      <c r="W39" s="192"/>
      <c r="X39" s="191"/>
      <c r="Y39" s="191"/>
      <c r="Z39" s="191"/>
      <c r="AA39" s="319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170" customFormat="1" ht="12" customHeight="1" x14ac:dyDescent="0.25">
      <c r="A40" s="273">
        <v>44881</v>
      </c>
      <c r="B40" s="231" t="s">
        <v>672</v>
      </c>
      <c r="C40" s="274" t="s">
        <v>145</v>
      </c>
      <c r="D40" s="285"/>
      <c r="E40" s="218">
        <v>16.829999999999998</v>
      </c>
      <c r="F40" s="219"/>
      <c r="G40" s="286"/>
      <c r="H40" s="304"/>
      <c r="I40" s="185"/>
      <c r="J40" s="185"/>
      <c r="K40" s="186"/>
      <c r="L40" s="185"/>
      <c r="M40" s="185"/>
      <c r="N40" s="185"/>
      <c r="O40" s="305"/>
      <c r="P40" s="318"/>
      <c r="Q40" s="191"/>
      <c r="R40" s="191"/>
      <c r="S40" s="191"/>
      <c r="T40" s="191"/>
      <c r="U40" s="232"/>
      <c r="V40" s="191"/>
      <c r="W40" s="192"/>
      <c r="X40" s="191"/>
      <c r="Y40" s="191">
        <v>16.829999999999998</v>
      </c>
      <c r="Z40" s="191"/>
      <c r="AA40" s="319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170" customFormat="1" ht="12" customHeight="1" x14ac:dyDescent="0.25">
      <c r="A41" s="273">
        <v>44882</v>
      </c>
      <c r="B41" s="231" t="s">
        <v>674</v>
      </c>
      <c r="C41" s="274" t="s">
        <v>145</v>
      </c>
      <c r="D41" s="285"/>
      <c r="E41" s="218">
        <v>20</v>
      </c>
      <c r="F41" s="219"/>
      <c r="G41" s="286"/>
      <c r="H41" s="304"/>
      <c r="I41" s="185"/>
      <c r="J41" s="185"/>
      <c r="K41" s="186"/>
      <c r="L41" s="185"/>
      <c r="M41" s="185"/>
      <c r="N41" s="185"/>
      <c r="O41" s="305"/>
      <c r="P41" s="318"/>
      <c r="Q41" s="191"/>
      <c r="R41" s="191"/>
      <c r="S41" s="191">
        <v>20</v>
      </c>
      <c r="T41" s="191"/>
      <c r="U41" s="232"/>
      <c r="V41" s="191"/>
      <c r="W41" s="192"/>
      <c r="X41" s="191"/>
      <c r="Y41" s="191"/>
      <c r="Z41" s="191"/>
      <c r="AA41" s="319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44882</v>
      </c>
      <c r="B42" s="231" t="s">
        <v>569</v>
      </c>
      <c r="C42" s="274" t="s">
        <v>145</v>
      </c>
      <c r="D42" s="285"/>
      <c r="E42" s="218">
        <v>89.41</v>
      </c>
      <c r="F42" s="219"/>
      <c r="G42" s="286"/>
      <c r="H42" s="304"/>
      <c r="I42" s="185"/>
      <c r="J42" s="185"/>
      <c r="K42" s="186"/>
      <c r="L42" s="185"/>
      <c r="M42" s="185"/>
      <c r="N42" s="185"/>
      <c r="O42" s="305"/>
      <c r="P42" s="318"/>
      <c r="Q42" s="191"/>
      <c r="R42" s="191"/>
      <c r="S42" s="191">
        <v>89.41</v>
      </c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527" customFormat="1" ht="12" customHeight="1" x14ac:dyDescent="0.25">
      <c r="A43" s="511">
        <v>44883</v>
      </c>
      <c r="B43" s="512" t="s">
        <v>690</v>
      </c>
      <c r="C43" s="513" t="s">
        <v>145</v>
      </c>
      <c r="D43" s="514">
        <v>90</v>
      </c>
      <c r="E43" s="515"/>
      <c r="F43" s="516"/>
      <c r="G43" s="517"/>
      <c r="H43" s="518"/>
      <c r="I43" s="519"/>
      <c r="J43" s="519"/>
      <c r="K43" s="520">
        <v>90</v>
      </c>
      <c r="L43" s="519"/>
      <c r="M43" s="519"/>
      <c r="N43" s="519"/>
      <c r="O43" s="521"/>
      <c r="P43" s="522"/>
      <c r="Q43" s="523"/>
      <c r="R43" s="523"/>
      <c r="S43" s="523"/>
      <c r="T43" s="523"/>
      <c r="U43" s="524"/>
      <c r="V43" s="523"/>
      <c r="W43" s="525"/>
      <c r="X43" s="523"/>
      <c r="Y43" s="523"/>
      <c r="Z43" s="523"/>
      <c r="AA43" s="526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527" customFormat="1" ht="12" customHeight="1" x14ac:dyDescent="0.25">
      <c r="A44" s="511">
        <v>44883</v>
      </c>
      <c r="B44" s="512" t="s">
        <v>690</v>
      </c>
      <c r="C44" s="513" t="s">
        <v>145</v>
      </c>
      <c r="D44" s="514"/>
      <c r="E44" s="515"/>
      <c r="F44" s="516">
        <v>24</v>
      </c>
      <c r="G44" s="517"/>
      <c r="H44" s="518"/>
      <c r="I44" s="519"/>
      <c r="J44" s="519"/>
      <c r="K44" s="520">
        <v>24</v>
      </c>
      <c r="L44" s="519"/>
      <c r="M44" s="519"/>
      <c r="N44" s="519"/>
      <c r="O44" s="521"/>
      <c r="P44" s="522"/>
      <c r="Q44" s="523"/>
      <c r="R44" s="523"/>
      <c r="S44" s="523"/>
      <c r="T44" s="523"/>
      <c r="U44" s="524"/>
      <c r="V44" s="523"/>
      <c r="W44" s="525"/>
      <c r="X44" s="523"/>
      <c r="Y44" s="523"/>
      <c r="Z44" s="523"/>
      <c r="AA44" s="526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527" customFormat="1" ht="12" customHeight="1" x14ac:dyDescent="0.25">
      <c r="A45" s="511">
        <v>44883</v>
      </c>
      <c r="B45" s="512" t="s">
        <v>691</v>
      </c>
      <c r="C45" s="513" t="s">
        <v>145</v>
      </c>
      <c r="D45" s="514">
        <v>185</v>
      </c>
      <c r="E45" s="515"/>
      <c r="F45" s="516"/>
      <c r="G45" s="517"/>
      <c r="H45" s="518"/>
      <c r="I45" s="519"/>
      <c r="J45" s="519"/>
      <c r="K45" s="520">
        <v>185</v>
      </c>
      <c r="L45" s="519"/>
      <c r="M45" s="519"/>
      <c r="N45" s="519"/>
      <c r="O45" s="521"/>
      <c r="P45" s="522"/>
      <c r="Q45" s="523"/>
      <c r="R45" s="523"/>
      <c r="S45" s="523"/>
      <c r="T45" s="523"/>
      <c r="U45" s="524"/>
      <c r="V45" s="523"/>
      <c r="W45" s="525"/>
      <c r="X45" s="523"/>
      <c r="Y45" s="523"/>
      <c r="Z45" s="523"/>
      <c r="AA45" s="526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527" customFormat="1" ht="12" customHeight="1" x14ac:dyDescent="0.25">
      <c r="A46" s="511">
        <v>44883</v>
      </c>
      <c r="B46" s="512" t="s">
        <v>692</v>
      </c>
      <c r="C46" s="513" t="s">
        <v>145</v>
      </c>
      <c r="D46" s="514"/>
      <c r="E46" s="515"/>
      <c r="F46" s="516">
        <v>15</v>
      </c>
      <c r="G46" s="517"/>
      <c r="H46" s="518"/>
      <c r="I46" s="519"/>
      <c r="J46" s="519"/>
      <c r="K46" s="520">
        <v>15</v>
      </c>
      <c r="L46" s="519"/>
      <c r="M46" s="519"/>
      <c r="N46" s="519"/>
      <c r="O46" s="521"/>
      <c r="P46" s="522"/>
      <c r="Q46" s="523"/>
      <c r="R46" s="523"/>
      <c r="S46" s="523"/>
      <c r="T46" s="523"/>
      <c r="U46" s="524"/>
      <c r="V46" s="523"/>
      <c r="W46" s="525"/>
      <c r="X46" s="523"/>
      <c r="Y46" s="523"/>
      <c r="Z46" s="523"/>
      <c r="AA46" s="526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170" customFormat="1" ht="12" customHeight="1" x14ac:dyDescent="0.25">
      <c r="A47" s="273">
        <v>44884</v>
      </c>
      <c r="B47" s="231" t="s">
        <v>675</v>
      </c>
      <c r="C47" s="274" t="s">
        <v>145</v>
      </c>
      <c r="D47" s="285">
        <v>100</v>
      </c>
      <c r="E47" s="218"/>
      <c r="F47" s="219"/>
      <c r="G47" s="286"/>
      <c r="H47" s="304"/>
      <c r="I47" s="185">
        <v>100</v>
      </c>
      <c r="J47" s="185"/>
      <c r="K47" s="186"/>
      <c r="L47" s="185"/>
      <c r="M47" s="185"/>
      <c r="N47" s="185"/>
      <c r="O47" s="305"/>
      <c r="P47" s="318"/>
      <c r="Q47" s="191"/>
      <c r="R47" s="191"/>
      <c r="S47" s="191"/>
      <c r="T47" s="191"/>
      <c r="U47" s="232"/>
      <c r="V47" s="191"/>
      <c r="W47" s="192"/>
      <c r="X47" s="191"/>
      <c r="Y47" s="191"/>
      <c r="Z47" s="191"/>
      <c r="AA47" s="319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170" customFormat="1" ht="12" customHeight="1" x14ac:dyDescent="0.25">
      <c r="A48" s="273">
        <v>44884</v>
      </c>
      <c r="B48" s="231" t="s">
        <v>676</v>
      </c>
      <c r="C48" s="274" t="s">
        <v>145</v>
      </c>
      <c r="D48" s="285">
        <v>200</v>
      </c>
      <c r="E48" s="218"/>
      <c r="F48" s="219"/>
      <c r="G48" s="286"/>
      <c r="H48" s="304"/>
      <c r="I48" s="185">
        <v>200</v>
      </c>
      <c r="J48" s="185"/>
      <c r="K48" s="186"/>
      <c r="L48" s="185"/>
      <c r="M48" s="185"/>
      <c r="N48" s="185"/>
      <c r="O48" s="305"/>
      <c r="P48" s="318"/>
      <c r="Q48" s="191"/>
      <c r="R48" s="191"/>
      <c r="S48" s="191"/>
      <c r="T48" s="191"/>
      <c r="U48" s="232"/>
      <c r="V48" s="191"/>
      <c r="W48" s="192"/>
      <c r="X48" s="191"/>
      <c r="Y48" s="191"/>
      <c r="Z48" s="191"/>
      <c r="AA48" s="319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170" customFormat="1" ht="12" customHeight="1" x14ac:dyDescent="0.25">
      <c r="A49" s="273">
        <v>44886</v>
      </c>
      <c r="B49" s="231" t="s">
        <v>693</v>
      </c>
      <c r="C49" s="274" t="s">
        <v>145</v>
      </c>
      <c r="D49" s="285">
        <v>170</v>
      </c>
      <c r="E49" s="218"/>
      <c r="F49" s="219"/>
      <c r="G49" s="286"/>
      <c r="H49" s="304"/>
      <c r="I49" s="185">
        <v>170</v>
      </c>
      <c r="J49" s="185"/>
      <c r="K49" s="186"/>
      <c r="L49" s="185"/>
      <c r="M49" s="185"/>
      <c r="N49" s="185"/>
      <c r="O49" s="305"/>
      <c r="P49" s="318"/>
      <c r="Q49" s="191"/>
      <c r="R49" s="191"/>
      <c r="S49" s="191"/>
      <c r="T49" s="191"/>
      <c r="U49" s="232"/>
      <c r="V49" s="191"/>
      <c r="W49" s="192"/>
      <c r="X49" s="191"/>
      <c r="Y49" s="191"/>
      <c r="Z49" s="191"/>
      <c r="AA49" s="319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44891</v>
      </c>
      <c r="B50" s="231" t="s">
        <v>142</v>
      </c>
      <c r="C50" s="274" t="s">
        <v>145</v>
      </c>
      <c r="D50" s="285">
        <v>31</v>
      </c>
      <c r="E50" s="218"/>
      <c r="F50" s="219"/>
      <c r="G50" s="286"/>
      <c r="H50" s="304"/>
      <c r="I50" s="185">
        <v>31</v>
      </c>
      <c r="J50" s="185"/>
      <c r="K50" s="186"/>
      <c r="L50" s="185"/>
      <c r="M50" s="185"/>
      <c r="N50" s="185"/>
      <c r="O50" s="305"/>
      <c r="P50" s="318"/>
      <c r="Q50" s="191"/>
      <c r="R50" s="191"/>
      <c r="S50" s="191"/>
      <c r="T50" s="191"/>
      <c r="U50" s="232"/>
      <c r="V50" s="191"/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170" customFormat="1" ht="12" customHeight="1" x14ac:dyDescent="0.25">
      <c r="A51" s="273">
        <v>44891</v>
      </c>
      <c r="B51" s="231" t="s">
        <v>208</v>
      </c>
      <c r="C51" s="274" t="s">
        <v>145</v>
      </c>
      <c r="D51" s="285"/>
      <c r="E51" s="218">
        <v>172.8</v>
      </c>
      <c r="F51" s="219"/>
      <c r="G51" s="286"/>
      <c r="H51" s="304"/>
      <c r="I51" s="185"/>
      <c r="J51" s="185"/>
      <c r="K51" s="186"/>
      <c r="L51" s="185"/>
      <c r="M51" s="185"/>
      <c r="N51" s="185"/>
      <c r="O51" s="305"/>
      <c r="P51" s="318"/>
      <c r="Q51" s="191"/>
      <c r="R51" s="191"/>
      <c r="S51" s="191"/>
      <c r="T51" s="191"/>
      <c r="U51" s="232"/>
      <c r="V51" s="191">
        <v>172.8</v>
      </c>
      <c r="W51" s="192"/>
      <c r="X51" s="191"/>
      <c r="Y51" s="191"/>
      <c r="Z51" s="191"/>
      <c r="AA51" s="319"/>
      <c r="AB51" s="168"/>
      <c r="AC51" s="168"/>
      <c r="AD51" s="168"/>
      <c r="AE51" s="168"/>
      <c r="AF51" s="168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</row>
    <row r="52" spans="1:115" s="170" customFormat="1" ht="12" customHeight="1" x14ac:dyDescent="0.25">
      <c r="A52" s="273">
        <v>44893</v>
      </c>
      <c r="B52" s="231" t="s">
        <v>694</v>
      </c>
      <c r="C52" s="274" t="s">
        <v>145</v>
      </c>
      <c r="D52" s="285">
        <v>100</v>
      </c>
      <c r="E52" s="218"/>
      <c r="F52" s="219"/>
      <c r="G52" s="286"/>
      <c r="H52" s="304"/>
      <c r="I52" s="185">
        <v>100</v>
      </c>
      <c r="J52" s="185"/>
      <c r="K52" s="186"/>
      <c r="L52" s="185"/>
      <c r="M52" s="185"/>
      <c r="N52" s="185"/>
      <c r="O52" s="305"/>
      <c r="P52" s="318"/>
      <c r="Q52" s="191"/>
      <c r="R52" s="191"/>
      <c r="S52" s="191"/>
      <c r="T52" s="191"/>
      <c r="U52" s="232"/>
      <c r="V52" s="191"/>
      <c r="W52" s="192"/>
      <c r="X52" s="191"/>
      <c r="Y52" s="191"/>
      <c r="Z52" s="191"/>
      <c r="AA52" s="319"/>
      <c r="AB52" s="168"/>
      <c r="AC52" s="168"/>
      <c r="AD52" s="168"/>
      <c r="AE52" s="168"/>
      <c r="AF52" s="168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</row>
    <row r="53" spans="1:115" s="527" customFormat="1" ht="12" customHeight="1" x14ac:dyDescent="0.25">
      <c r="A53" s="511">
        <v>44894</v>
      </c>
      <c r="B53" s="512" t="s">
        <v>396</v>
      </c>
      <c r="C53" s="513" t="s">
        <v>145</v>
      </c>
      <c r="D53" s="514">
        <v>199.06</v>
      </c>
      <c r="E53" s="515"/>
      <c r="F53" s="516"/>
      <c r="G53" s="517"/>
      <c r="H53" s="518"/>
      <c r="I53" s="519">
        <v>199.06</v>
      </c>
      <c r="J53" s="519"/>
      <c r="K53" s="520"/>
      <c r="L53" s="519"/>
      <c r="M53" s="519"/>
      <c r="N53" s="519"/>
      <c r="O53" s="521"/>
      <c r="P53" s="522"/>
      <c r="Q53" s="523"/>
      <c r="R53" s="523"/>
      <c r="S53" s="523"/>
      <c r="T53" s="523"/>
      <c r="U53" s="524"/>
      <c r="V53" s="523"/>
      <c r="W53" s="525"/>
      <c r="X53" s="523"/>
      <c r="Y53" s="523"/>
      <c r="Z53" s="523"/>
      <c r="AA53" s="526"/>
      <c r="AB53" s="168"/>
      <c r="AC53" s="168"/>
      <c r="AD53" s="168"/>
      <c r="AE53" s="168"/>
      <c r="AF53" s="168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</row>
    <row r="54" spans="1:115" s="527" customFormat="1" ht="12" customHeight="1" x14ac:dyDescent="0.25">
      <c r="A54" s="511">
        <v>44894</v>
      </c>
      <c r="B54" s="512" t="s">
        <v>695</v>
      </c>
      <c r="C54" s="513" t="s">
        <v>145</v>
      </c>
      <c r="D54" s="514"/>
      <c r="E54" s="515">
        <v>150</v>
      </c>
      <c r="F54" s="516"/>
      <c r="G54" s="517"/>
      <c r="H54" s="518"/>
      <c r="I54" s="519"/>
      <c r="J54" s="519"/>
      <c r="K54" s="520"/>
      <c r="L54" s="519"/>
      <c r="M54" s="519"/>
      <c r="N54" s="519"/>
      <c r="O54" s="521"/>
      <c r="P54" s="522"/>
      <c r="Q54" s="523"/>
      <c r="R54" s="523"/>
      <c r="S54" s="523"/>
      <c r="T54" s="523">
        <v>150</v>
      </c>
      <c r="U54" s="524"/>
      <c r="V54" s="523"/>
      <c r="W54" s="525"/>
      <c r="X54" s="523"/>
      <c r="Y54" s="523"/>
      <c r="Z54" s="523"/>
      <c r="AA54" s="526"/>
      <c r="AB54" s="168"/>
      <c r="AC54" s="168"/>
      <c r="AD54" s="168"/>
      <c r="AE54" s="168"/>
      <c r="AF54" s="168"/>
      <c r="AG54" s="168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</row>
    <row r="55" spans="1:115" s="170" customFormat="1" ht="12" customHeight="1" x14ac:dyDescent="0.25">
      <c r="A55" s="273">
        <v>44895</v>
      </c>
      <c r="B55" s="231" t="s">
        <v>215</v>
      </c>
      <c r="C55" s="274" t="s">
        <v>145</v>
      </c>
      <c r="D55" s="285"/>
      <c r="E55" s="218">
        <v>60</v>
      </c>
      <c r="F55" s="219"/>
      <c r="G55" s="286"/>
      <c r="H55" s="304"/>
      <c r="I55" s="185"/>
      <c r="J55" s="185"/>
      <c r="K55" s="186"/>
      <c r="L55" s="185"/>
      <c r="M55" s="185"/>
      <c r="N55" s="185"/>
      <c r="O55" s="305"/>
      <c r="P55" s="318"/>
      <c r="Q55" s="191"/>
      <c r="R55" s="191"/>
      <c r="S55" s="191"/>
      <c r="T55" s="191"/>
      <c r="U55" s="232"/>
      <c r="V55" s="191">
        <v>60</v>
      </c>
      <c r="W55" s="192"/>
      <c r="X55" s="191"/>
      <c r="Y55" s="191"/>
      <c r="Z55" s="191"/>
      <c r="AA55" s="319"/>
      <c r="AB55" s="168"/>
      <c r="AC55" s="168"/>
      <c r="AD55" s="168"/>
      <c r="AE55" s="168"/>
      <c r="AF55" s="168"/>
      <c r="AG55" s="168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</row>
    <row r="56" spans="1:115" s="170" customFormat="1" ht="12" customHeight="1" x14ac:dyDescent="0.25">
      <c r="A56" s="273">
        <v>44895</v>
      </c>
      <c r="B56" s="231" t="s">
        <v>636</v>
      </c>
      <c r="C56" s="274" t="s">
        <v>145</v>
      </c>
      <c r="D56" s="285">
        <v>100</v>
      </c>
      <c r="E56" s="218"/>
      <c r="F56" s="219"/>
      <c r="G56" s="286"/>
      <c r="H56" s="304"/>
      <c r="I56" s="185">
        <v>100</v>
      </c>
      <c r="J56" s="185"/>
      <c r="K56" s="186"/>
      <c r="L56" s="185"/>
      <c r="M56" s="185"/>
      <c r="N56" s="185"/>
      <c r="O56" s="305"/>
      <c r="P56" s="318"/>
      <c r="Q56" s="191"/>
      <c r="R56" s="191"/>
      <c r="S56" s="191"/>
      <c r="T56" s="191"/>
      <c r="U56" s="232"/>
      <c r="V56" s="191"/>
      <c r="W56" s="192"/>
      <c r="X56" s="191"/>
      <c r="Y56" s="191"/>
      <c r="Z56" s="191"/>
      <c r="AA56" s="319"/>
      <c r="AB56" s="168"/>
      <c r="AC56" s="168"/>
      <c r="AD56" s="168"/>
      <c r="AE56" s="168"/>
      <c r="AF56" s="168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</row>
    <row r="57" spans="1:115" s="170" customFormat="1" ht="12" customHeight="1" x14ac:dyDescent="0.25">
      <c r="A57" s="273">
        <v>44895</v>
      </c>
      <c r="B57" s="231" t="s">
        <v>676</v>
      </c>
      <c r="C57" s="274" t="s">
        <v>145</v>
      </c>
      <c r="D57" s="285">
        <v>300</v>
      </c>
      <c r="E57" s="218"/>
      <c r="F57" s="219"/>
      <c r="G57" s="286"/>
      <c r="H57" s="304"/>
      <c r="I57" s="185">
        <v>300</v>
      </c>
      <c r="J57" s="185"/>
      <c r="K57" s="186"/>
      <c r="L57" s="185"/>
      <c r="M57" s="185"/>
      <c r="N57" s="185"/>
      <c r="O57" s="305"/>
      <c r="P57" s="318"/>
      <c r="Q57" s="191"/>
      <c r="R57" s="191"/>
      <c r="S57" s="191"/>
      <c r="T57" s="191"/>
      <c r="U57" s="232"/>
      <c r="V57" s="191"/>
      <c r="W57" s="192"/>
      <c r="X57" s="191"/>
      <c r="Y57" s="191"/>
      <c r="Z57" s="191"/>
      <c r="AA57" s="319"/>
      <c r="AB57" s="168"/>
      <c r="AC57" s="168"/>
      <c r="AD57" s="168"/>
      <c r="AE57" s="168"/>
      <c r="AF57" s="168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</row>
    <row r="58" spans="1:115" s="170" customFormat="1" ht="12" customHeight="1" x14ac:dyDescent="0.25">
      <c r="A58" s="273">
        <v>44895</v>
      </c>
      <c r="B58" s="231" t="s">
        <v>696</v>
      </c>
      <c r="C58" s="274" t="s">
        <v>145</v>
      </c>
      <c r="D58" s="285"/>
      <c r="E58" s="218"/>
      <c r="F58" s="219">
        <v>3</v>
      </c>
      <c r="G58" s="286"/>
      <c r="H58" s="304"/>
      <c r="I58" s="185"/>
      <c r="J58" s="185"/>
      <c r="K58" s="186">
        <v>3</v>
      </c>
      <c r="L58" s="185"/>
      <c r="M58" s="185"/>
      <c r="N58" s="185"/>
      <c r="O58" s="305"/>
      <c r="P58" s="318"/>
      <c r="Q58" s="191"/>
      <c r="R58" s="191"/>
      <c r="S58" s="191"/>
      <c r="T58" s="191"/>
      <c r="U58" s="232"/>
      <c r="V58" s="191"/>
      <c r="W58" s="192"/>
      <c r="X58" s="191"/>
      <c r="Y58" s="191"/>
      <c r="Z58" s="191"/>
      <c r="AA58" s="319"/>
      <c r="AB58" s="168"/>
      <c r="AC58" s="168"/>
      <c r="AD58" s="168"/>
      <c r="AE58" s="168"/>
      <c r="AF58" s="168"/>
      <c r="AG58" s="168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</row>
    <row r="59" spans="1:115" s="170" customFormat="1" ht="12" customHeight="1" x14ac:dyDescent="0.25">
      <c r="A59" s="273">
        <v>44895</v>
      </c>
      <c r="B59" s="231" t="s">
        <v>697</v>
      </c>
      <c r="C59" s="274" t="s">
        <v>145</v>
      </c>
      <c r="D59" s="285"/>
      <c r="E59" s="218"/>
      <c r="F59" s="219">
        <v>38</v>
      </c>
      <c r="G59" s="286"/>
      <c r="H59" s="304"/>
      <c r="I59" s="185"/>
      <c r="J59" s="185"/>
      <c r="K59" s="186">
        <v>38</v>
      </c>
      <c r="L59" s="185"/>
      <c r="M59" s="185"/>
      <c r="N59" s="185"/>
      <c r="O59" s="305"/>
      <c r="P59" s="318"/>
      <c r="Q59" s="191"/>
      <c r="R59" s="191"/>
      <c r="S59" s="191"/>
      <c r="T59" s="191"/>
      <c r="U59" s="232"/>
      <c r="V59" s="191"/>
      <c r="W59" s="192"/>
      <c r="X59" s="191"/>
      <c r="Y59" s="191"/>
      <c r="Z59" s="191"/>
      <c r="AA59" s="319"/>
      <c r="AB59" s="168"/>
      <c r="AC59" s="168"/>
      <c r="AD59" s="168"/>
      <c r="AE59" s="168"/>
      <c r="AF59" s="168"/>
      <c r="AG59" s="168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</row>
    <row r="60" spans="1:115" s="170" customFormat="1" ht="12" customHeight="1" x14ac:dyDescent="0.25">
      <c r="A60" s="273">
        <v>44895</v>
      </c>
      <c r="B60" s="231" t="s">
        <v>698</v>
      </c>
      <c r="C60" s="274" t="s">
        <v>145</v>
      </c>
      <c r="D60" s="285">
        <v>33</v>
      </c>
      <c r="E60" s="218"/>
      <c r="F60" s="219"/>
      <c r="G60" s="286"/>
      <c r="H60" s="304"/>
      <c r="I60" s="185"/>
      <c r="J60" s="185"/>
      <c r="K60" s="186">
        <v>33</v>
      </c>
      <c r="L60" s="185"/>
      <c r="M60" s="185"/>
      <c r="N60" s="185"/>
      <c r="O60" s="305"/>
      <c r="P60" s="318"/>
      <c r="Q60" s="191"/>
      <c r="R60" s="191"/>
      <c r="S60" s="191"/>
      <c r="T60" s="191"/>
      <c r="U60" s="232"/>
      <c r="V60" s="191"/>
      <c r="W60" s="192"/>
      <c r="X60" s="191"/>
      <c r="Y60" s="191"/>
      <c r="Z60" s="191"/>
      <c r="AA60" s="319"/>
      <c r="AB60" s="168"/>
      <c r="AC60" s="168"/>
      <c r="AD60" s="168"/>
      <c r="AE60" s="168"/>
      <c r="AF60" s="168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</row>
    <row r="61" spans="1:115" s="170" customFormat="1" ht="12" customHeight="1" x14ac:dyDescent="0.25">
      <c r="A61" s="273">
        <v>44895</v>
      </c>
      <c r="B61" s="231" t="s">
        <v>699</v>
      </c>
      <c r="C61" s="274" t="s">
        <v>145</v>
      </c>
      <c r="D61" s="285"/>
      <c r="E61" s="218"/>
      <c r="F61" s="219">
        <v>10.5</v>
      </c>
      <c r="G61" s="286"/>
      <c r="H61" s="304"/>
      <c r="I61" s="185"/>
      <c r="J61" s="185"/>
      <c r="K61" s="186">
        <v>10.5</v>
      </c>
      <c r="L61" s="185"/>
      <c r="M61" s="185"/>
      <c r="N61" s="185"/>
      <c r="O61" s="305"/>
      <c r="P61" s="318"/>
      <c r="Q61" s="191"/>
      <c r="R61" s="191"/>
      <c r="S61" s="191"/>
      <c r="T61" s="191"/>
      <c r="U61" s="232"/>
      <c r="V61" s="191"/>
      <c r="W61" s="192"/>
      <c r="X61" s="191"/>
      <c r="Y61" s="191"/>
      <c r="Z61" s="191"/>
      <c r="AA61" s="319"/>
      <c r="AB61" s="168"/>
      <c r="AC61" s="168"/>
      <c r="AD61" s="168"/>
      <c r="AE61" s="168"/>
      <c r="AF61" s="168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</row>
    <row r="62" spans="1:115" s="170" customFormat="1" ht="12" customHeight="1" x14ac:dyDescent="0.25">
      <c r="A62" s="273">
        <v>44895</v>
      </c>
      <c r="B62" s="231" t="s">
        <v>700</v>
      </c>
      <c r="C62" s="274" t="s">
        <v>145</v>
      </c>
      <c r="D62" s="285">
        <v>9</v>
      </c>
      <c r="E62" s="218"/>
      <c r="F62" s="219"/>
      <c r="G62" s="286"/>
      <c r="H62" s="304"/>
      <c r="I62" s="185"/>
      <c r="J62" s="185"/>
      <c r="K62" s="186">
        <v>9</v>
      </c>
      <c r="L62" s="185"/>
      <c r="M62" s="185"/>
      <c r="N62" s="185"/>
      <c r="O62" s="305"/>
      <c r="P62" s="318"/>
      <c r="Q62" s="191"/>
      <c r="R62" s="191"/>
      <c r="S62" s="191"/>
      <c r="T62" s="191"/>
      <c r="U62" s="232"/>
      <c r="V62" s="191"/>
      <c r="W62" s="192"/>
      <c r="X62" s="191"/>
      <c r="Y62" s="191"/>
      <c r="Z62" s="191"/>
      <c r="AA62" s="319"/>
      <c r="AB62" s="168"/>
      <c r="AC62" s="168"/>
      <c r="AD62" s="168"/>
      <c r="AE62" s="168"/>
      <c r="AF62" s="168"/>
      <c r="AG62" s="168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</row>
    <row r="63" spans="1:115" s="527" customFormat="1" ht="12" customHeight="1" x14ac:dyDescent="0.25">
      <c r="A63" s="511">
        <v>44895</v>
      </c>
      <c r="B63" s="512" t="s">
        <v>701</v>
      </c>
      <c r="C63" s="513" t="s">
        <v>145</v>
      </c>
      <c r="D63" s="514">
        <v>9</v>
      </c>
      <c r="E63" s="515"/>
      <c r="F63" s="516"/>
      <c r="G63" s="517"/>
      <c r="H63" s="518"/>
      <c r="I63" s="519"/>
      <c r="J63" s="519"/>
      <c r="K63" s="520">
        <v>9</v>
      </c>
      <c r="L63" s="519"/>
      <c r="M63" s="519"/>
      <c r="N63" s="519"/>
      <c r="O63" s="521"/>
      <c r="P63" s="522"/>
      <c r="Q63" s="523"/>
      <c r="R63" s="523"/>
      <c r="S63" s="523"/>
      <c r="T63" s="523"/>
      <c r="U63" s="524"/>
      <c r="V63" s="523"/>
      <c r="W63" s="525"/>
      <c r="X63" s="523"/>
      <c r="Y63" s="523"/>
      <c r="Z63" s="523"/>
      <c r="AA63" s="526"/>
      <c r="AB63" s="168"/>
      <c r="AC63" s="168"/>
      <c r="AD63" s="168"/>
      <c r="AE63" s="168"/>
      <c r="AF63" s="168"/>
      <c r="AG63" s="168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</row>
    <row r="64" spans="1:115" s="170" customFormat="1" ht="12" customHeight="1" x14ac:dyDescent="0.25">
      <c r="A64" s="273">
        <v>44895</v>
      </c>
      <c r="B64" s="231" t="s">
        <v>702</v>
      </c>
      <c r="C64" s="274" t="s">
        <v>145</v>
      </c>
      <c r="D64" s="285"/>
      <c r="E64" s="218"/>
      <c r="F64" s="219">
        <v>3</v>
      </c>
      <c r="G64" s="286"/>
      <c r="H64" s="304"/>
      <c r="I64" s="185"/>
      <c r="J64" s="185"/>
      <c r="K64" s="186">
        <v>3</v>
      </c>
      <c r="L64" s="185"/>
      <c r="M64" s="185"/>
      <c r="N64" s="185"/>
      <c r="O64" s="305"/>
      <c r="P64" s="318"/>
      <c r="Q64" s="191"/>
      <c r="R64" s="191"/>
      <c r="S64" s="191"/>
      <c r="T64" s="191"/>
      <c r="U64" s="232"/>
      <c r="V64" s="191"/>
      <c r="W64" s="192"/>
      <c r="X64" s="191"/>
      <c r="Y64" s="191"/>
      <c r="Z64" s="191"/>
      <c r="AA64" s="319"/>
      <c r="AB64" s="168"/>
      <c r="AC64" s="168"/>
      <c r="AD64" s="168"/>
      <c r="AE64" s="168"/>
      <c r="AF64" s="168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</row>
    <row r="65" spans="1:115" s="170" customFormat="1" ht="12" customHeight="1" x14ac:dyDescent="0.25">
      <c r="A65" s="273">
        <v>44895</v>
      </c>
      <c r="B65" s="231" t="s">
        <v>703</v>
      </c>
      <c r="C65" s="274" t="s">
        <v>145</v>
      </c>
      <c r="D65" s="285">
        <v>75</v>
      </c>
      <c r="E65" s="218"/>
      <c r="F65" s="219"/>
      <c r="G65" s="286"/>
      <c r="H65" s="304"/>
      <c r="I65" s="185"/>
      <c r="J65" s="185"/>
      <c r="K65" s="186">
        <v>75</v>
      </c>
      <c r="L65" s="185"/>
      <c r="M65" s="185"/>
      <c r="N65" s="185"/>
      <c r="O65" s="305"/>
      <c r="P65" s="318"/>
      <c r="Q65" s="191"/>
      <c r="R65" s="191"/>
      <c r="S65" s="191"/>
      <c r="T65" s="191"/>
      <c r="U65" s="232"/>
      <c r="V65" s="191"/>
      <c r="W65" s="192"/>
      <c r="X65" s="191"/>
      <c r="Y65" s="191"/>
      <c r="Z65" s="191"/>
      <c r="AA65" s="319"/>
      <c r="AB65" s="168"/>
      <c r="AC65" s="168"/>
      <c r="AD65" s="168"/>
      <c r="AE65" s="168"/>
      <c r="AF65" s="168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</row>
    <row r="66" spans="1:115" s="9" customFormat="1" ht="11" thickBot="1" x14ac:dyDescent="0.3">
      <c r="A66" s="277" t="s">
        <v>25</v>
      </c>
      <c r="B66" s="278"/>
      <c r="C66" s="279"/>
      <c r="D66" s="289">
        <f t="shared" ref="D66:AA66" si="0">SUM(D6:D65)</f>
        <v>2626.5</v>
      </c>
      <c r="E66" s="290">
        <f t="shared" si="0"/>
        <v>4849.47</v>
      </c>
      <c r="F66" s="291">
        <f t="shared" si="0"/>
        <v>545.65</v>
      </c>
      <c r="G66" s="292">
        <f t="shared" si="0"/>
        <v>120.3</v>
      </c>
      <c r="H66" s="289">
        <f t="shared" si="0"/>
        <v>48.95</v>
      </c>
      <c r="I66" s="290">
        <f t="shared" si="0"/>
        <v>1786.8999999999999</v>
      </c>
      <c r="J66" s="290">
        <f t="shared" si="0"/>
        <v>0</v>
      </c>
      <c r="K66" s="290">
        <f t="shared" si="0"/>
        <v>1336.3</v>
      </c>
      <c r="L66" s="290">
        <f t="shared" si="0"/>
        <v>0</v>
      </c>
      <c r="M66" s="290">
        <f t="shared" si="0"/>
        <v>0</v>
      </c>
      <c r="N66" s="290">
        <f t="shared" si="0"/>
        <v>0</v>
      </c>
      <c r="O66" s="308">
        <f t="shared" si="0"/>
        <v>0</v>
      </c>
      <c r="P66" s="322">
        <f t="shared" si="0"/>
        <v>0</v>
      </c>
      <c r="Q66" s="323">
        <f t="shared" si="0"/>
        <v>100</v>
      </c>
      <c r="R66" s="323">
        <f t="shared" si="0"/>
        <v>0</v>
      </c>
      <c r="S66" s="323">
        <f t="shared" si="0"/>
        <v>129.70999999999998</v>
      </c>
      <c r="T66" s="323">
        <f t="shared" si="0"/>
        <v>450</v>
      </c>
      <c r="U66" s="323">
        <f t="shared" si="0"/>
        <v>0</v>
      </c>
      <c r="V66" s="323">
        <f t="shared" si="0"/>
        <v>262.79000000000002</v>
      </c>
      <c r="W66" s="323">
        <f t="shared" si="0"/>
        <v>10.44</v>
      </c>
      <c r="X66" s="323">
        <f t="shared" si="0"/>
        <v>0</v>
      </c>
      <c r="Y66" s="323">
        <f t="shared" si="0"/>
        <v>16.829999999999998</v>
      </c>
      <c r="Z66" s="323">
        <f t="shared" si="0"/>
        <v>4000</v>
      </c>
      <c r="AA66" s="324">
        <f t="shared" si="0"/>
        <v>0</v>
      </c>
      <c r="AB66" s="37"/>
      <c r="AC66" s="37"/>
      <c r="AD66" s="37"/>
      <c r="AE66" s="37"/>
      <c r="AF66" s="37"/>
      <c r="AG66" s="37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s="38" customFormat="1" ht="11.5" thickTop="1" thickBot="1" x14ac:dyDescent="0.3">
      <c r="A67" s="326"/>
      <c r="B67" s="327"/>
      <c r="C67" s="328"/>
      <c r="D67" s="336"/>
      <c r="E67" s="337"/>
      <c r="F67" s="338"/>
      <c r="G67" s="339"/>
      <c r="H67" s="353"/>
      <c r="I67" s="338"/>
      <c r="J67" s="338"/>
      <c r="K67" s="354"/>
      <c r="L67" s="338"/>
      <c r="M67" s="338"/>
      <c r="N67" s="355"/>
      <c r="O67" s="339"/>
      <c r="P67" s="372"/>
      <c r="Q67" s="373"/>
      <c r="R67" s="373"/>
      <c r="S67" s="373"/>
      <c r="T67" s="374"/>
      <c r="U67" s="373"/>
      <c r="V67" s="373"/>
      <c r="W67" s="375"/>
      <c r="X67" s="376"/>
      <c r="Y67" s="376"/>
      <c r="Z67" s="376"/>
      <c r="AA67" s="377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</row>
    <row r="68" spans="1:115" s="6" customFormat="1" ht="53.5" thickTop="1" thickBot="1" x14ac:dyDescent="0.3">
      <c r="A68" s="329" t="s">
        <v>1</v>
      </c>
      <c r="B68" s="12" t="s">
        <v>2</v>
      </c>
      <c r="C68" s="330"/>
      <c r="D68" s="340" t="s">
        <v>3</v>
      </c>
      <c r="E68" s="233"/>
      <c r="F68" s="233" t="s">
        <v>4</v>
      </c>
      <c r="G68" s="341"/>
      <c r="H68" s="356" t="s">
        <v>5</v>
      </c>
      <c r="I68" s="13" t="s">
        <v>6</v>
      </c>
      <c r="J68" s="13" t="s">
        <v>7</v>
      </c>
      <c r="K68" s="14" t="s">
        <v>8</v>
      </c>
      <c r="L68" s="15" t="s">
        <v>9</v>
      </c>
      <c r="M68" s="14" t="s">
        <v>10</v>
      </c>
      <c r="N68" s="14" t="s">
        <v>11</v>
      </c>
      <c r="O68" s="357" t="s">
        <v>12</v>
      </c>
      <c r="P68" s="293" t="s">
        <v>13</v>
      </c>
      <c r="Q68" s="297" t="s">
        <v>98</v>
      </c>
      <c r="R68" s="309" t="s">
        <v>14</v>
      </c>
      <c r="S68" s="310" t="s">
        <v>15</v>
      </c>
      <c r="T68" s="311" t="s">
        <v>16</v>
      </c>
      <c r="U68" s="297" t="s">
        <v>17</v>
      </c>
      <c r="V68" s="297" t="s">
        <v>18</v>
      </c>
      <c r="W68" s="294" t="s">
        <v>63</v>
      </c>
      <c r="X68" s="312" t="s">
        <v>19</v>
      </c>
      <c r="Y68" s="297" t="s">
        <v>65</v>
      </c>
      <c r="Z68" s="297" t="s">
        <v>102</v>
      </c>
      <c r="AA68" s="298" t="s">
        <v>104</v>
      </c>
    </row>
    <row r="69" spans="1:115" s="6" customFormat="1" ht="11" thickBot="1" x14ac:dyDescent="0.3">
      <c r="A69" s="331"/>
      <c r="B69" s="16"/>
      <c r="C69" s="332"/>
      <c r="D69" s="342" t="s">
        <v>22</v>
      </c>
      <c r="E69" s="39" t="s">
        <v>23</v>
      </c>
      <c r="F69" s="16" t="s">
        <v>22</v>
      </c>
      <c r="G69" s="343" t="s">
        <v>23</v>
      </c>
      <c r="H69" s="331" t="s">
        <v>22</v>
      </c>
      <c r="I69" s="16" t="s">
        <v>22</v>
      </c>
      <c r="J69" s="16" t="s">
        <v>22</v>
      </c>
      <c r="K69" s="17" t="s">
        <v>22</v>
      </c>
      <c r="L69" s="18" t="s">
        <v>22</v>
      </c>
      <c r="M69" s="19" t="s">
        <v>22</v>
      </c>
      <c r="N69" s="20"/>
      <c r="O69" s="358" t="s">
        <v>22</v>
      </c>
      <c r="P69" s="331" t="s">
        <v>23</v>
      </c>
      <c r="Q69" s="16" t="s">
        <v>23</v>
      </c>
      <c r="R69" s="18" t="s">
        <v>23</v>
      </c>
      <c r="S69" s="18" t="s">
        <v>23</v>
      </c>
      <c r="T69" s="16" t="s">
        <v>23</v>
      </c>
      <c r="U69" s="16" t="s">
        <v>23</v>
      </c>
      <c r="V69" s="16" t="s">
        <v>23</v>
      </c>
      <c r="W69" s="19" t="s">
        <v>23</v>
      </c>
      <c r="X69" s="16" t="s">
        <v>23</v>
      </c>
      <c r="Y69" s="16" t="s">
        <v>23</v>
      </c>
      <c r="Z69" s="16" t="s">
        <v>23</v>
      </c>
      <c r="AA69" s="378" t="s">
        <v>23</v>
      </c>
    </row>
    <row r="70" spans="1:115" s="21" customFormat="1" ht="11" thickBot="1" x14ac:dyDescent="0.3">
      <c r="A70" s="333"/>
      <c r="B70" s="334"/>
      <c r="C70" s="335"/>
      <c r="D70" s="344">
        <f t="shared" ref="D70:AA70" si="1">SUM(D5:D65)</f>
        <v>14825.690000000006</v>
      </c>
      <c r="E70" s="345">
        <f t="shared" si="1"/>
        <v>4849.47</v>
      </c>
      <c r="F70" s="345">
        <f t="shared" si="1"/>
        <v>627.80000000000007</v>
      </c>
      <c r="G70" s="346">
        <f t="shared" si="1"/>
        <v>120.3</v>
      </c>
      <c r="H70" s="359">
        <f t="shared" si="1"/>
        <v>48.95</v>
      </c>
      <c r="I70" s="360">
        <f t="shared" si="1"/>
        <v>1786.8999999999999</v>
      </c>
      <c r="J70" s="360">
        <f t="shared" si="1"/>
        <v>0</v>
      </c>
      <c r="K70" s="360">
        <f t="shared" si="1"/>
        <v>1336.3</v>
      </c>
      <c r="L70" s="360">
        <f t="shared" si="1"/>
        <v>0</v>
      </c>
      <c r="M70" s="360">
        <f t="shared" si="1"/>
        <v>0</v>
      </c>
      <c r="N70" s="360">
        <f t="shared" si="1"/>
        <v>0</v>
      </c>
      <c r="O70" s="361">
        <f t="shared" si="1"/>
        <v>12281.340000000007</v>
      </c>
      <c r="P70" s="359">
        <f t="shared" si="1"/>
        <v>0</v>
      </c>
      <c r="Q70" s="360">
        <f t="shared" si="1"/>
        <v>100</v>
      </c>
      <c r="R70" s="360">
        <f t="shared" si="1"/>
        <v>0</v>
      </c>
      <c r="S70" s="360">
        <f t="shared" si="1"/>
        <v>129.70999999999998</v>
      </c>
      <c r="T70" s="360">
        <f t="shared" si="1"/>
        <v>450</v>
      </c>
      <c r="U70" s="360">
        <f t="shared" si="1"/>
        <v>0</v>
      </c>
      <c r="V70" s="360">
        <f t="shared" si="1"/>
        <v>262.79000000000002</v>
      </c>
      <c r="W70" s="360">
        <f t="shared" si="1"/>
        <v>10.44</v>
      </c>
      <c r="X70" s="360">
        <f t="shared" si="1"/>
        <v>0</v>
      </c>
      <c r="Y70" s="360">
        <f t="shared" si="1"/>
        <v>16.829999999999998</v>
      </c>
      <c r="Z70" s="360">
        <f t="shared" si="1"/>
        <v>4000</v>
      </c>
      <c r="AA70" s="361">
        <f t="shared" si="1"/>
        <v>0</v>
      </c>
    </row>
    <row r="71" spans="1:115" s="6" customFormat="1" ht="11.5" thickTop="1" thickBot="1" x14ac:dyDescent="0.3">
      <c r="A71" s="347"/>
      <c r="B71" s="348" t="s">
        <v>26</v>
      </c>
      <c r="C71" s="349"/>
      <c r="D71" s="350">
        <f>SUM(D70-E70)</f>
        <v>9976.2200000000048</v>
      </c>
      <c r="E71" s="351"/>
      <c r="F71" s="350">
        <f>SUM(F70-G70)</f>
        <v>507.50000000000006</v>
      </c>
      <c r="G71" s="352"/>
      <c r="H71" s="363"/>
      <c r="I71" s="379"/>
      <c r="J71" s="379" t="s">
        <v>20</v>
      </c>
      <c r="K71" s="365"/>
      <c r="L71" s="364"/>
      <c r="M71" s="364" t="s">
        <v>20</v>
      </c>
      <c r="N71" s="366"/>
      <c r="O71" s="367" t="s">
        <v>20</v>
      </c>
      <c r="P71" s="363"/>
      <c r="Q71" s="364"/>
      <c r="R71" s="364" t="s">
        <v>20</v>
      </c>
      <c r="S71" s="364" t="s">
        <v>20</v>
      </c>
      <c r="T71" s="364" t="s">
        <v>20</v>
      </c>
      <c r="U71" s="371"/>
      <c r="V71" s="364" t="s">
        <v>20</v>
      </c>
      <c r="W71" s="371"/>
      <c r="X71" s="364" t="s">
        <v>20</v>
      </c>
      <c r="Y71" s="364" t="s">
        <v>20</v>
      </c>
      <c r="Z71" s="364" t="s">
        <v>20</v>
      </c>
      <c r="AA71" s="352" t="s">
        <v>20</v>
      </c>
    </row>
    <row r="72" spans="1:115" s="6" customFormat="1" ht="13.5" thickTop="1" thickBot="1" x14ac:dyDescent="0.3">
      <c r="A72" s="2"/>
      <c r="B72" s="2"/>
      <c r="C72" s="55"/>
      <c r="D72" s="35"/>
      <c r="E72" s="34"/>
      <c r="F72" s="4"/>
      <c r="I72" s="546" t="s">
        <v>27</v>
      </c>
      <c r="J72" s="547"/>
      <c r="K72" s="362">
        <f>SUM(H70:O70)</f>
        <v>15453.490000000007</v>
      </c>
      <c r="O72" s="22"/>
      <c r="P72" s="4"/>
      <c r="Q72" s="6" t="s">
        <v>28</v>
      </c>
      <c r="R72" s="368" t="s">
        <v>20</v>
      </c>
      <c r="S72" s="369">
        <f>SUM(P70:AA70)</f>
        <v>4969.7700000000004</v>
      </c>
      <c r="T72" s="370"/>
    </row>
    <row r="73" spans="1:115" s="6" customFormat="1" ht="11" thickBot="1" x14ac:dyDescent="0.3">
      <c r="A73" s="2"/>
      <c r="B73" s="23" t="s">
        <v>29</v>
      </c>
      <c r="C73" s="23"/>
      <c r="D73" s="40" t="s">
        <v>20</v>
      </c>
      <c r="E73" s="193">
        <f>SUM(D70-E70+F70-G70)</f>
        <v>10483.720000000005</v>
      </c>
      <c r="F73" s="25" t="s">
        <v>49</v>
      </c>
      <c r="H73" s="26"/>
      <c r="I73" s="46"/>
      <c r="J73" s="46"/>
      <c r="K73" s="27"/>
      <c r="M73" s="7"/>
      <c r="N73" s="46"/>
      <c r="O73" s="24">
        <f>E70</f>
        <v>4849.47</v>
      </c>
      <c r="P73" s="540">
        <f>SUM(K72-S72)</f>
        <v>10483.720000000007</v>
      </c>
      <c r="Q73" s="540"/>
      <c r="R73" s="541" t="s">
        <v>30</v>
      </c>
      <c r="S73" s="541"/>
      <c r="T73" s="541"/>
    </row>
    <row r="74" spans="1:115" s="6" customFormat="1" ht="10.5" x14ac:dyDescent="0.25">
      <c r="A74" s="1"/>
      <c r="B74" s="2"/>
      <c r="C74" s="55"/>
      <c r="D74" s="28"/>
      <c r="E74" s="34"/>
      <c r="F74" s="4"/>
      <c r="G74" s="3"/>
      <c r="H74" s="3"/>
      <c r="I74" s="3"/>
      <c r="J74" s="3"/>
      <c r="K74" s="5"/>
      <c r="L74" s="3"/>
      <c r="M74" s="3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115" s="6" customFormat="1" x14ac:dyDescent="0.25">
      <c r="A75" s="1"/>
      <c r="B75" s="2"/>
      <c r="C75" s="2"/>
      <c r="D75" s="542" t="s">
        <v>52</v>
      </c>
      <c r="E75" s="543"/>
      <c r="F75" s="194">
        <v>40.1</v>
      </c>
      <c r="G75" s="197">
        <f>9450.22+526</f>
        <v>9976.2199999999993</v>
      </c>
      <c r="H75" s="52" t="s">
        <v>54</v>
      </c>
      <c r="I75" s="57"/>
      <c r="J75" s="3"/>
      <c r="K75" s="5"/>
      <c r="L75" s="3"/>
      <c r="M75" s="3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115" s="6" customFormat="1" x14ac:dyDescent="0.25">
      <c r="A76" s="1"/>
      <c r="B76" s="2"/>
      <c r="C76" s="2"/>
      <c r="D76" s="544" t="s">
        <v>34</v>
      </c>
      <c r="E76" s="545"/>
      <c r="F76" s="195">
        <v>20.6</v>
      </c>
      <c r="G76" s="197">
        <f>D71</f>
        <v>9976.2200000000048</v>
      </c>
      <c r="H76" s="52" t="s">
        <v>60</v>
      </c>
      <c r="I76" s="57"/>
      <c r="J76" s="3"/>
      <c r="K76" s="5"/>
      <c r="L76" s="3"/>
      <c r="M76" s="3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115" s="6" customFormat="1" x14ac:dyDescent="0.25">
      <c r="A77" s="1"/>
      <c r="B77" s="2"/>
      <c r="C77" s="2"/>
      <c r="D77" s="544" t="s">
        <v>85</v>
      </c>
      <c r="E77" s="545"/>
      <c r="F77" s="194">
        <f>446.8</f>
        <v>446.8</v>
      </c>
      <c r="G77" s="198">
        <f>G75-G76</f>
        <v>0</v>
      </c>
      <c r="H77" s="53" t="s">
        <v>50</v>
      </c>
      <c r="I77" s="3"/>
      <c r="J77" s="3"/>
      <c r="K77" s="5"/>
      <c r="L77" s="3"/>
      <c r="M77" s="3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115" s="6" customFormat="1" x14ac:dyDescent="0.25">
      <c r="A78" s="1"/>
      <c r="B78" s="2"/>
      <c r="C78" s="2"/>
      <c r="D78" s="533" t="s">
        <v>50</v>
      </c>
      <c r="E78" s="534"/>
      <c r="F78" s="196">
        <f>F75+F76+F77-F71</f>
        <v>0</v>
      </c>
      <c r="G78" s="84"/>
      <c r="H78" s="85"/>
      <c r="I78" s="3"/>
      <c r="J78" s="3"/>
      <c r="K78" s="5"/>
      <c r="L78" s="3"/>
      <c r="M78" s="3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</sheetData>
  <sheetProtection selectLockedCells="1" selectUnlockedCells="1"/>
  <mergeCells count="10">
    <mergeCell ref="R73:T73"/>
    <mergeCell ref="D75:E75"/>
    <mergeCell ref="D76:E76"/>
    <mergeCell ref="D77:E77"/>
    <mergeCell ref="I72:J72"/>
    <mergeCell ref="D78:E78"/>
    <mergeCell ref="A1:B1"/>
    <mergeCell ref="D3:E3"/>
    <mergeCell ref="F3:G3"/>
    <mergeCell ref="P73:Q73"/>
  </mergeCells>
  <printOptions horizontalCentered="1"/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2017&amp;R&amp;UNOVEMBRE 2017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33"/>
  <sheetViews>
    <sheetView showGridLines="0" workbookViewId="0">
      <selection activeCell="I20" sqref="I20"/>
    </sheetView>
  </sheetViews>
  <sheetFormatPr baseColWidth="10" defaultColWidth="10.81640625" defaultRowHeight="10.5" x14ac:dyDescent="0.25"/>
  <cols>
    <col min="1" max="1" width="10.81640625" style="58"/>
    <col min="2" max="2" width="31.453125" style="58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10">
        <v>44898</v>
      </c>
      <c r="B2" s="56" t="s">
        <v>709</v>
      </c>
      <c r="C2" s="205"/>
      <c r="D2" s="204"/>
      <c r="E2" s="204">
        <v>3</v>
      </c>
      <c r="F2" s="204">
        <f t="shared" ref="F2:F29" si="0">SUM(C2:E2)</f>
        <v>3</v>
      </c>
      <c r="G2" s="211" t="s">
        <v>145</v>
      </c>
    </row>
    <row r="3" spans="1:35" ht="13" x14ac:dyDescent="0.3">
      <c r="A3" s="210">
        <v>44898</v>
      </c>
      <c r="B3" s="56" t="s">
        <v>710</v>
      </c>
      <c r="C3" s="205"/>
      <c r="D3" s="204"/>
      <c r="E3" s="204">
        <v>36</v>
      </c>
      <c r="F3" s="204">
        <f>SUM(C3:E3)</f>
        <v>36</v>
      </c>
      <c r="G3" s="211" t="s">
        <v>145</v>
      </c>
      <c r="I3" s="381"/>
    </row>
    <row r="4" spans="1:35" ht="13" x14ac:dyDescent="0.3">
      <c r="A4" s="210">
        <v>44898</v>
      </c>
      <c r="B4" s="56" t="s">
        <v>711</v>
      </c>
      <c r="C4" s="205"/>
      <c r="D4" s="204">
        <v>46</v>
      </c>
      <c r="E4" s="204"/>
      <c r="F4" s="202">
        <f t="shared" si="0"/>
        <v>46</v>
      </c>
      <c r="G4" s="211" t="s">
        <v>145</v>
      </c>
    </row>
    <row r="5" spans="1:35" ht="13" x14ac:dyDescent="0.3">
      <c r="A5" s="210">
        <v>44898</v>
      </c>
      <c r="B5" s="56" t="s">
        <v>712</v>
      </c>
      <c r="C5" s="205"/>
      <c r="D5" s="204"/>
      <c r="E5" s="204">
        <v>18</v>
      </c>
      <c r="F5" s="202">
        <f t="shared" si="0"/>
        <v>18</v>
      </c>
      <c r="G5" s="211" t="s">
        <v>145</v>
      </c>
    </row>
    <row r="6" spans="1:35" ht="13" x14ac:dyDescent="0.3">
      <c r="A6" s="210">
        <v>44898</v>
      </c>
      <c r="B6" s="56" t="s">
        <v>713</v>
      </c>
      <c r="C6" s="205"/>
      <c r="D6" s="204"/>
      <c r="E6" s="204">
        <v>39</v>
      </c>
      <c r="F6" s="202">
        <f t="shared" si="0"/>
        <v>39</v>
      </c>
      <c r="G6" s="211" t="s">
        <v>145</v>
      </c>
    </row>
    <row r="7" spans="1:35" ht="13" x14ac:dyDescent="0.3">
      <c r="A7" s="210">
        <v>44898</v>
      </c>
      <c r="B7" s="56" t="s">
        <v>714</v>
      </c>
      <c r="C7" s="205"/>
      <c r="D7" s="204"/>
      <c r="E7" s="204">
        <v>3</v>
      </c>
      <c r="F7" s="202">
        <f t="shared" si="0"/>
        <v>3</v>
      </c>
      <c r="G7" s="211" t="s">
        <v>145</v>
      </c>
    </row>
    <row r="8" spans="1:35" ht="13" x14ac:dyDescent="0.3">
      <c r="A8" s="210">
        <v>44898</v>
      </c>
      <c r="B8" s="56" t="s">
        <v>715</v>
      </c>
      <c r="C8" s="205"/>
      <c r="D8" s="204"/>
      <c r="E8" s="204">
        <v>2.5</v>
      </c>
      <c r="F8" s="202">
        <f t="shared" si="0"/>
        <v>2.5</v>
      </c>
      <c r="G8" s="211" t="s">
        <v>145</v>
      </c>
    </row>
    <row r="9" spans="1:35" ht="13" x14ac:dyDescent="0.3">
      <c r="A9" s="210">
        <v>44898</v>
      </c>
      <c r="B9" s="56" t="s">
        <v>720</v>
      </c>
      <c r="C9" s="205"/>
      <c r="D9" s="204"/>
      <c r="E9" s="205">
        <v>49</v>
      </c>
      <c r="F9" s="202">
        <f t="shared" si="0"/>
        <v>49</v>
      </c>
      <c r="G9" s="211" t="s">
        <v>145</v>
      </c>
    </row>
    <row r="10" spans="1:35" s="162" customFormat="1" ht="13" x14ac:dyDescent="0.3">
      <c r="A10" s="210">
        <v>44912</v>
      </c>
      <c r="B10" s="56" t="s">
        <v>721</v>
      </c>
      <c r="C10" s="205"/>
      <c r="D10" s="200"/>
      <c r="E10" s="204">
        <v>19.5</v>
      </c>
      <c r="F10" s="202">
        <f t="shared" si="0"/>
        <v>19.5</v>
      </c>
      <c r="G10" s="211" t="s">
        <v>145</v>
      </c>
      <c r="H10" s="3"/>
      <c r="I10" s="38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" customFormat="1" ht="13" x14ac:dyDescent="0.3">
      <c r="A11" s="210">
        <v>44912</v>
      </c>
      <c r="B11" s="56" t="s">
        <v>722</v>
      </c>
      <c r="C11" s="205"/>
      <c r="D11" s="200">
        <v>203.5</v>
      </c>
      <c r="E11" s="204"/>
      <c r="F11" s="202">
        <f t="shared" si="0"/>
        <v>203.5</v>
      </c>
      <c r="G11" s="211" t="s">
        <v>145</v>
      </c>
    </row>
    <row r="12" spans="1:35" s="3" customFormat="1" ht="13" x14ac:dyDescent="0.3">
      <c r="A12" s="210">
        <v>44912</v>
      </c>
      <c r="B12" s="56" t="s">
        <v>723</v>
      </c>
      <c r="C12" s="205"/>
      <c r="D12" s="200">
        <v>233.5</v>
      </c>
      <c r="E12" s="204"/>
      <c r="F12" s="202">
        <f t="shared" si="0"/>
        <v>233.5</v>
      </c>
      <c r="G12" s="211" t="s">
        <v>145</v>
      </c>
    </row>
    <row r="13" spans="1:35" s="3" customFormat="1" ht="13" x14ac:dyDescent="0.3">
      <c r="A13" s="210">
        <v>44912</v>
      </c>
      <c r="B13" s="56" t="s">
        <v>724</v>
      </c>
      <c r="C13" s="205"/>
      <c r="D13" s="200"/>
      <c r="E13" s="204">
        <v>105.5</v>
      </c>
      <c r="F13" s="202">
        <f t="shared" si="0"/>
        <v>105.5</v>
      </c>
      <c r="G13" s="211" t="s">
        <v>145</v>
      </c>
    </row>
    <row r="14" spans="1:35" s="3" customFormat="1" ht="13" x14ac:dyDescent="0.3">
      <c r="A14" s="210">
        <v>44912</v>
      </c>
      <c r="B14" s="56" t="s">
        <v>725</v>
      </c>
      <c r="C14" s="205"/>
      <c r="D14" s="200">
        <v>15</v>
      </c>
      <c r="E14" s="204"/>
      <c r="F14" s="202">
        <f t="shared" si="0"/>
        <v>15</v>
      </c>
      <c r="G14" s="211" t="s">
        <v>145</v>
      </c>
    </row>
    <row r="15" spans="1:35" s="3" customFormat="1" ht="13" x14ac:dyDescent="0.3">
      <c r="A15" s="210">
        <v>44912</v>
      </c>
      <c r="B15" s="56" t="s">
        <v>726</v>
      </c>
      <c r="C15" s="205"/>
      <c r="D15" s="200">
        <v>17.5</v>
      </c>
      <c r="E15" s="204"/>
      <c r="F15" s="202">
        <f t="shared" si="0"/>
        <v>17.5</v>
      </c>
      <c r="G15" s="211" t="s">
        <v>145</v>
      </c>
    </row>
    <row r="16" spans="1:35" s="162" customFormat="1" ht="13" x14ac:dyDescent="0.3">
      <c r="A16" s="210">
        <v>44912</v>
      </c>
      <c r="B16" s="56" t="s">
        <v>730</v>
      </c>
      <c r="C16" s="205"/>
      <c r="D16" s="200"/>
      <c r="E16" s="204">
        <v>1.7</v>
      </c>
      <c r="F16" s="202">
        <f t="shared" ref="F16:F21" si="1">SUM(C16:E16)</f>
        <v>1.7</v>
      </c>
      <c r="G16" s="211" t="s">
        <v>145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10" s="3" customFormat="1" ht="13" x14ac:dyDescent="0.3">
      <c r="A17" s="210">
        <v>44912</v>
      </c>
      <c r="B17" s="56" t="s">
        <v>731</v>
      </c>
      <c r="C17" s="205"/>
      <c r="D17" s="200">
        <v>58.5</v>
      </c>
      <c r="E17" s="204"/>
      <c r="F17" s="202">
        <f t="shared" si="1"/>
        <v>58.5</v>
      </c>
      <c r="G17" s="211" t="s">
        <v>145</v>
      </c>
    </row>
    <row r="18" spans="1:10" s="3" customFormat="1" ht="13" x14ac:dyDescent="0.3">
      <c r="A18" s="210">
        <v>44912</v>
      </c>
      <c r="B18" s="56" t="s">
        <v>732</v>
      </c>
      <c r="C18" s="205"/>
      <c r="D18" s="200"/>
      <c r="E18" s="204">
        <v>11.5</v>
      </c>
      <c r="F18" s="202">
        <f t="shared" si="1"/>
        <v>11.5</v>
      </c>
      <c r="G18" s="211" t="s">
        <v>145</v>
      </c>
    </row>
    <row r="19" spans="1:10" s="3" customFormat="1" ht="13" x14ac:dyDescent="0.3">
      <c r="A19" s="210">
        <v>44912</v>
      </c>
      <c r="B19" s="56" t="s">
        <v>733</v>
      </c>
      <c r="C19" s="205"/>
      <c r="D19" s="200"/>
      <c r="E19" s="204">
        <v>12</v>
      </c>
      <c r="F19" s="202">
        <f t="shared" si="1"/>
        <v>12</v>
      </c>
      <c r="G19" s="211" t="s">
        <v>145</v>
      </c>
    </row>
    <row r="20" spans="1:10" s="3" customFormat="1" ht="13" x14ac:dyDescent="0.3">
      <c r="A20" s="210">
        <v>44858</v>
      </c>
      <c r="B20" s="56" t="s">
        <v>735</v>
      </c>
      <c r="C20" s="205"/>
      <c r="D20" s="200">
        <v>43</v>
      </c>
      <c r="E20" s="204"/>
      <c r="F20" s="202">
        <f t="shared" si="1"/>
        <v>43</v>
      </c>
      <c r="G20" s="211" t="s">
        <v>145</v>
      </c>
      <c r="I20" s="381"/>
      <c r="J20" s="381"/>
    </row>
    <row r="21" spans="1:10" s="3" customFormat="1" ht="13" x14ac:dyDescent="0.3">
      <c r="A21" s="210">
        <v>44858</v>
      </c>
      <c r="B21" s="56" t="s">
        <v>737</v>
      </c>
      <c r="C21" s="205"/>
      <c r="D21" s="200">
        <v>83</v>
      </c>
      <c r="E21" s="204"/>
      <c r="F21" s="202">
        <f t="shared" si="1"/>
        <v>83</v>
      </c>
      <c r="G21" s="211" t="s">
        <v>145</v>
      </c>
    </row>
    <row r="22" spans="1:10" s="3" customFormat="1" ht="13" x14ac:dyDescent="0.3">
      <c r="A22" s="210">
        <v>44858</v>
      </c>
      <c r="B22" s="56" t="s">
        <v>736</v>
      </c>
      <c r="C22" s="205"/>
      <c r="D22" s="200"/>
      <c r="E22" s="204">
        <v>54</v>
      </c>
      <c r="F22" s="202">
        <f t="shared" si="0"/>
        <v>54</v>
      </c>
      <c r="G22" s="211" t="s">
        <v>145</v>
      </c>
    </row>
    <row r="23" spans="1:10" s="3" customFormat="1" ht="13" x14ac:dyDescent="0.3">
      <c r="A23" s="210">
        <v>44858</v>
      </c>
      <c r="B23" s="56" t="s">
        <v>738</v>
      </c>
      <c r="C23" s="205"/>
      <c r="D23" s="200"/>
      <c r="E23" s="204">
        <v>12</v>
      </c>
      <c r="F23" s="202">
        <f t="shared" si="0"/>
        <v>12</v>
      </c>
      <c r="G23" s="211" t="s">
        <v>145</v>
      </c>
    </row>
    <row r="24" spans="1:10" s="3" customFormat="1" ht="13" x14ac:dyDescent="0.3">
      <c r="A24" s="210">
        <v>44926</v>
      </c>
      <c r="B24" s="56" t="s">
        <v>745</v>
      </c>
      <c r="C24" s="205"/>
      <c r="D24" s="200"/>
      <c r="E24" s="204">
        <v>10</v>
      </c>
      <c r="F24" s="202">
        <f t="shared" si="0"/>
        <v>10</v>
      </c>
      <c r="G24" s="211" t="s">
        <v>145</v>
      </c>
    </row>
    <row r="25" spans="1:10" s="3" customFormat="1" ht="13" x14ac:dyDescent="0.3">
      <c r="A25" s="210">
        <v>44926</v>
      </c>
      <c r="B25" s="56" t="s">
        <v>746</v>
      </c>
      <c r="C25" s="205"/>
      <c r="D25" s="200"/>
      <c r="E25" s="204">
        <v>2</v>
      </c>
      <c r="F25" s="202">
        <f t="shared" si="0"/>
        <v>2</v>
      </c>
      <c r="G25" s="211" t="s">
        <v>145</v>
      </c>
    </row>
    <row r="26" spans="1:10" s="3" customFormat="1" ht="13" x14ac:dyDescent="0.3">
      <c r="A26" s="210">
        <v>44926</v>
      </c>
      <c r="B26" s="56" t="s">
        <v>747</v>
      </c>
      <c r="C26" s="205"/>
      <c r="D26" s="200"/>
      <c r="E26" s="204">
        <v>15</v>
      </c>
      <c r="F26" s="202">
        <f t="shared" si="0"/>
        <v>15</v>
      </c>
      <c r="G26" s="211" t="s">
        <v>145</v>
      </c>
    </row>
    <row r="27" spans="1:10" s="3" customFormat="1" ht="13" x14ac:dyDescent="0.3">
      <c r="A27" s="210">
        <v>44926</v>
      </c>
      <c r="B27" s="56" t="s">
        <v>748</v>
      </c>
      <c r="C27" s="205"/>
      <c r="D27" s="200"/>
      <c r="E27" s="204">
        <v>95</v>
      </c>
      <c r="F27" s="202">
        <f t="shared" si="0"/>
        <v>95</v>
      </c>
      <c r="G27" s="211" t="s">
        <v>145</v>
      </c>
    </row>
    <row r="28" spans="1:10" s="3" customFormat="1" ht="13" x14ac:dyDescent="0.3">
      <c r="A28" s="210">
        <v>44926</v>
      </c>
      <c r="B28" s="56" t="s">
        <v>750</v>
      </c>
      <c r="C28" s="205"/>
      <c r="D28" s="200"/>
      <c r="E28" s="204">
        <v>24.4</v>
      </c>
      <c r="F28" s="202">
        <f t="shared" si="0"/>
        <v>24.4</v>
      </c>
      <c r="G28" s="211" t="s">
        <v>145</v>
      </c>
    </row>
    <row r="29" spans="1:10" s="3" customFormat="1" ht="13" x14ac:dyDescent="0.3">
      <c r="A29" s="210">
        <v>44926</v>
      </c>
      <c r="B29" s="56" t="s">
        <v>751</v>
      </c>
      <c r="C29" s="205"/>
      <c r="D29" s="200"/>
      <c r="E29" s="204">
        <v>6</v>
      </c>
      <c r="F29" s="202">
        <f t="shared" si="0"/>
        <v>6</v>
      </c>
      <c r="G29" s="211" t="s">
        <v>145</v>
      </c>
    </row>
    <row r="30" spans="1:10" s="3" customFormat="1" ht="13" x14ac:dyDescent="0.3">
      <c r="A30" s="210"/>
      <c r="B30" s="56"/>
      <c r="C30" s="205"/>
      <c r="D30" s="200"/>
      <c r="E30" s="204"/>
      <c r="F30" s="202">
        <f t="shared" ref="F30" si="2">SUM(C30:E30)</f>
        <v>0</v>
      </c>
      <c r="G30" s="211"/>
    </row>
    <row r="31" spans="1:10" s="3" customFormat="1" ht="13" thickBot="1" x14ac:dyDescent="0.3">
      <c r="A31" s="212"/>
      <c r="B31" s="213" t="s">
        <v>0</v>
      </c>
      <c r="C31" s="214">
        <f>SUM(C2:C30)</f>
        <v>0</v>
      </c>
      <c r="D31" s="214">
        <f>SUM(D2:D30)</f>
        <v>700</v>
      </c>
      <c r="E31" s="214">
        <f>SUM(E2:E30)</f>
        <v>519.1</v>
      </c>
      <c r="F31" s="215">
        <f>SUM(C31:E31)</f>
        <v>1219.0999999999999</v>
      </c>
      <c r="G31" s="216"/>
    </row>
    <row r="32" spans="1:10" s="3" customFormat="1" ht="11" thickTop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  <row r="1133" spans="4:5" s="3" customFormat="1" x14ac:dyDescent="0.25">
      <c r="D1133" s="1"/>
      <c r="E1133" s="1"/>
    </row>
  </sheetData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132"/>
  <sheetViews>
    <sheetView showGridLines="0" workbookViewId="0">
      <selection activeCell="A22" sqref="A22"/>
    </sheetView>
  </sheetViews>
  <sheetFormatPr baseColWidth="10" defaultColWidth="10.81640625" defaultRowHeight="10.5" x14ac:dyDescent="0.25"/>
  <cols>
    <col min="1" max="1" width="10.81640625" style="58"/>
    <col min="2" max="2" width="23.90625" style="58" bestFit="1" customWidth="1"/>
    <col min="3" max="3" width="10.81640625" style="58"/>
    <col min="4" max="4" width="10.81640625" style="153" bestFit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7" ht="13" thickTop="1" x14ac:dyDescent="0.25">
      <c r="A1" s="206" t="s">
        <v>55</v>
      </c>
      <c r="B1" s="208"/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7" ht="12.5" x14ac:dyDescent="0.25">
      <c r="A2" s="210">
        <v>44897</v>
      </c>
      <c r="B2" s="56" t="s">
        <v>707</v>
      </c>
      <c r="C2" s="199">
        <v>40</v>
      </c>
      <c r="D2" s="200"/>
      <c r="E2" s="201"/>
      <c r="F2" s="202">
        <f t="shared" ref="F2:F11" si="0">SUM(C2:E2)</f>
        <v>40</v>
      </c>
      <c r="G2" s="217" t="s">
        <v>145</v>
      </c>
    </row>
    <row r="3" spans="1:7" ht="12.5" x14ac:dyDescent="0.25">
      <c r="A3" s="210">
        <v>44898</v>
      </c>
      <c r="B3" s="56" t="s">
        <v>170</v>
      </c>
      <c r="C3" s="199">
        <v>60</v>
      </c>
      <c r="D3" s="200"/>
      <c r="E3" s="203"/>
      <c r="F3" s="202">
        <f t="shared" si="0"/>
        <v>60</v>
      </c>
      <c r="G3" s="217" t="s">
        <v>145</v>
      </c>
    </row>
    <row r="4" spans="1:7" ht="12.5" x14ac:dyDescent="0.25">
      <c r="A4" s="210">
        <v>44900</v>
      </c>
      <c r="B4" s="56" t="s">
        <v>380</v>
      </c>
      <c r="C4" s="199">
        <v>88</v>
      </c>
      <c r="D4" s="200"/>
      <c r="E4" s="203"/>
      <c r="F4" s="204">
        <f t="shared" si="0"/>
        <v>88</v>
      </c>
      <c r="G4" s="217" t="s">
        <v>145</v>
      </c>
    </row>
    <row r="5" spans="1:7" ht="12.5" x14ac:dyDescent="0.25">
      <c r="A5" s="210">
        <v>44901</v>
      </c>
      <c r="B5" s="56" t="s">
        <v>625</v>
      </c>
      <c r="C5" s="199">
        <v>144</v>
      </c>
      <c r="D5" s="200"/>
      <c r="E5" s="203"/>
      <c r="F5" s="204">
        <f t="shared" si="0"/>
        <v>144</v>
      </c>
      <c r="G5" s="217" t="s">
        <v>145</v>
      </c>
    </row>
    <row r="6" spans="1:7" ht="12.5" x14ac:dyDescent="0.25">
      <c r="A6" s="210">
        <v>44902</v>
      </c>
      <c r="B6" s="56" t="s">
        <v>196</v>
      </c>
      <c r="C6" s="199">
        <v>60</v>
      </c>
      <c r="D6" s="200"/>
      <c r="E6" s="203"/>
      <c r="F6" s="204">
        <f t="shared" si="0"/>
        <v>60</v>
      </c>
      <c r="G6" s="217" t="s">
        <v>145</v>
      </c>
    </row>
    <row r="7" spans="1:7" ht="12.5" x14ac:dyDescent="0.25">
      <c r="A7" s="210">
        <v>44905</v>
      </c>
      <c r="B7" s="56" t="s">
        <v>195</v>
      </c>
      <c r="C7" s="199">
        <v>103</v>
      </c>
      <c r="D7" s="200"/>
      <c r="E7" s="203"/>
      <c r="F7" s="204">
        <f t="shared" si="0"/>
        <v>103</v>
      </c>
      <c r="G7" s="217" t="s">
        <v>145</v>
      </c>
    </row>
    <row r="8" spans="1:7" ht="12.5" x14ac:dyDescent="0.25">
      <c r="A8" s="210">
        <v>44907</v>
      </c>
      <c r="B8" s="56" t="s">
        <v>475</v>
      </c>
      <c r="C8" s="199">
        <v>73</v>
      </c>
      <c r="D8" s="200"/>
      <c r="E8" s="203"/>
      <c r="F8" s="204">
        <f t="shared" si="0"/>
        <v>73</v>
      </c>
      <c r="G8" s="217" t="s">
        <v>145</v>
      </c>
    </row>
    <row r="9" spans="1:7" ht="12.5" x14ac:dyDescent="0.25">
      <c r="A9" s="210">
        <v>44911</v>
      </c>
      <c r="B9" s="56" t="s">
        <v>144</v>
      </c>
      <c r="C9" s="199">
        <v>113.24</v>
      </c>
      <c r="D9" s="200"/>
      <c r="E9" s="203"/>
      <c r="F9" s="204">
        <f t="shared" si="0"/>
        <v>113.24</v>
      </c>
      <c r="G9" s="217" t="s">
        <v>145</v>
      </c>
    </row>
    <row r="10" spans="1:7" ht="12.5" x14ac:dyDescent="0.25">
      <c r="A10" s="210">
        <v>44912</v>
      </c>
      <c r="B10" s="56" t="s">
        <v>729</v>
      </c>
      <c r="C10" s="199">
        <v>100</v>
      </c>
      <c r="D10" s="200"/>
      <c r="E10" s="203"/>
      <c r="F10" s="204">
        <f t="shared" si="0"/>
        <v>100</v>
      </c>
      <c r="G10" s="217" t="s">
        <v>145</v>
      </c>
    </row>
    <row r="11" spans="1:7" ht="12.5" x14ac:dyDescent="0.25">
      <c r="A11" s="210">
        <v>44912</v>
      </c>
      <c r="B11" s="56" t="s">
        <v>554</v>
      </c>
      <c r="C11" s="199">
        <v>300</v>
      </c>
      <c r="D11" s="200"/>
      <c r="E11" s="203"/>
      <c r="F11" s="204">
        <f t="shared" si="0"/>
        <v>300</v>
      </c>
      <c r="G11" s="217" t="s">
        <v>145</v>
      </c>
    </row>
    <row r="12" spans="1:7" ht="12.5" x14ac:dyDescent="0.25">
      <c r="A12" s="210">
        <v>44913</v>
      </c>
      <c r="B12" s="56" t="s">
        <v>459</v>
      </c>
      <c r="C12" s="199">
        <v>140</v>
      </c>
      <c r="D12" s="200"/>
      <c r="E12" s="203"/>
      <c r="F12" s="204">
        <f t="shared" ref="F12:F19" si="1">SUM(C12:E12)</f>
        <v>140</v>
      </c>
      <c r="G12" s="217" t="s">
        <v>145</v>
      </c>
    </row>
    <row r="13" spans="1:7" ht="12.5" x14ac:dyDescent="0.25">
      <c r="A13" s="210">
        <v>44915</v>
      </c>
      <c r="B13" s="56" t="s">
        <v>409</v>
      </c>
      <c r="C13" s="199">
        <v>50</v>
      </c>
      <c r="D13" s="200"/>
      <c r="E13" s="203"/>
      <c r="F13" s="204">
        <f t="shared" si="1"/>
        <v>50</v>
      </c>
      <c r="G13" s="217" t="s">
        <v>145</v>
      </c>
    </row>
    <row r="14" spans="1:7" ht="12.5" x14ac:dyDescent="0.25">
      <c r="A14" s="210">
        <v>44916</v>
      </c>
      <c r="B14" s="56" t="s">
        <v>141</v>
      </c>
      <c r="C14" s="199">
        <v>50</v>
      </c>
      <c r="D14" s="200"/>
      <c r="E14" s="203"/>
      <c r="F14" s="204">
        <f t="shared" si="1"/>
        <v>50</v>
      </c>
      <c r="G14" s="217" t="s">
        <v>145</v>
      </c>
    </row>
    <row r="15" spans="1:7" ht="12.5" x14ac:dyDescent="0.25">
      <c r="A15" s="210">
        <v>44919</v>
      </c>
      <c r="B15" s="56" t="s">
        <v>231</v>
      </c>
      <c r="C15" s="199"/>
      <c r="D15" s="200">
        <v>74.69</v>
      </c>
      <c r="E15" s="203"/>
      <c r="F15" s="204">
        <f t="shared" si="1"/>
        <v>74.69</v>
      </c>
      <c r="G15" s="217" t="s">
        <v>145</v>
      </c>
    </row>
    <row r="16" spans="1:7" ht="12.5" x14ac:dyDescent="0.25">
      <c r="A16" s="210">
        <v>44921</v>
      </c>
      <c r="B16" s="56" t="s">
        <v>512</v>
      </c>
      <c r="C16" s="199">
        <v>348.52</v>
      </c>
      <c r="D16" s="200"/>
      <c r="E16" s="203"/>
      <c r="F16" s="204">
        <f t="shared" si="1"/>
        <v>348.52</v>
      </c>
      <c r="G16" s="217" t="s">
        <v>145</v>
      </c>
    </row>
    <row r="17" spans="1:35" ht="12.5" x14ac:dyDescent="0.25">
      <c r="A17" s="210">
        <v>44921</v>
      </c>
      <c r="B17" s="56" t="s">
        <v>558</v>
      </c>
      <c r="C17" s="199">
        <v>100</v>
      </c>
      <c r="D17" s="200"/>
      <c r="E17" s="203"/>
      <c r="F17" s="204">
        <f t="shared" si="1"/>
        <v>100</v>
      </c>
      <c r="G17" s="217" t="s">
        <v>145</v>
      </c>
    </row>
    <row r="18" spans="1:35" ht="12.5" x14ac:dyDescent="0.25">
      <c r="A18" s="210">
        <v>44922</v>
      </c>
      <c r="B18" s="56" t="s">
        <v>743</v>
      </c>
      <c r="C18" s="199">
        <v>140.80000000000001</v>
      </c>
      <c r="D18" s="200"/>
      <c r="E18" s="203"/>
      <c r="F18" s="204">
        <f t="shared" si="1"/>
        <v>140.80000000000001</v>
      </c>
      <c r="G18" s="217" t="s">
        <v>145</v>
      </c>
    </row>
    <row r="19" spans="1:35" ht="12.5" x14ac:dyDescent="0.25">
      <c r="A19" s="210">
        <v>44923</v>
      </c>
      <c r="B19" s="56" t="s">
        <v>270</v>
      </c>
      <c r="C19" s="199">
        <v>55</v>
      </c>
      <c r="D19" s="200"/>
      <c r="E19" s="203"/>
      <c r="F19" s="204">
        <f t="shared" si="1"/>
        <v>55</v>
      </c>
      <c r="G19" s="217" t="s">
        <v>145</v>
      </c>
    </row>
    <row r="20" spans="1:35" ht="12.5" x14ac:dyDescent="0.25">
      <c r="A20" s="210">
        <v>44925</v>
      </c>
      <c r="B20" s="56" t="s">
        <v>142</v>
      </c>
      <c r="C20" s="199">
        <v>19</v>
      </c>
      <c r="D20" s="200"/>
      <c r="E20" s="203"/>
      <c r="F20" s="204">
        <f t="shared" ref="F20" si="2">SUM(C20:E20)</f>
        <v>19</v>
      </c>
      <c r="G20" s="217" t="s">
        <v>145</v>
      </c>
    </row>
    <row r="21" spans="1:35" ht="12.5" x14ac:dyDescent="0.25">
      <c r="A21" s="210">
        <v>44925</v>
      </c>
      <c r="B21" s="56" t="s">
        <v>744</v>
      </c>
      <c r="C21" s="199">
        <v>100</v>
      </c>
      <c r="D21" s="200"/>
      <c r="E21" s="203"/>
      <c r="F21" s="204">
        <f t="shared" ref="F21" si="3">SUM(C21:E21)</f>
        <v>100</v>
      </c>
      <c r="G21" s="217" t="s">
        <v>145</v>
      </c>
    </row>
    <row r="22" spans="1:35" s="162" customFormat="1" ht="13" thickBot="1" x14ac:dyDescent="0.3">
      <c r="A22" s="212"/>
      <c r="B22" s="213" t="s">
        <v>0</v>
      </c>
      <c r="C22" s="214">
        <f>SUM(C2:C21)</f>
        <v>2084.56</v>
      </c>
      <c r="D22" s="214">
        <f t="shared" ref="D22:F22" si="4">SUM(D2:D21)</f>
        <v>74.69</v>
      </c>
      <c r="E22" s="214">
        <f t="shared" si="4"/>
        <v>0</v>
      </c>
      <c r="F22" s="215">
        <f t="shared" si="4"/>
        <v>2159.25</v>
      </c>
      <c r="G22" s="2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s="3" customFormat="1" ht="11" thickTop="1" x14ac:dyDescent="0.25">
      <c r="D23" s="1"/>
      <c r="E23" s="1"/>
    </row>
    <row r="24" spans="1:35" s="3" customFormat="1" x14ac:dyDescent="0.25">
      <c r="D24" s="1"/>
      <c r="E24" s="1"/>
    </row>
    <row r="25" spans="1:35" s="3" customFormat="1" x14ac:dyDescent="0.25">
      <c r="D25" s="1"/>
      <c r="E25" s="1"/>
    </row>
    <row r="26" spans="1:35" s="3" customFormat="1" x14ac:dyDescent="0.25">
      <c r="D26" s="1"/>
      <c r="E26" s="1"/>
    </row>
    <row r="27" spans="1:35" s="3" customFormat="1" x14ac:dyDescent="0.25">
      <c r="D27" s="1"/>
      <c r="E27" s="1"/>
    </row>
    <row r="28" spans="1:35" s="3" customFormat="1" x14ac:dyDescent="0.25">
      <c r="D28" s="1"/>
      <c r="E28" s="1"/>
    </row>
    <row r="29" spans="1:35" s="3" customFormat="1" x14ac:dyDescent="0.25">
      <c r="D29" s="1"/>
      <c r="E29" s="1"/>
    </row>
    <row r="30" spans="1:35" s="3" customFormat="1" x14ac:dyDescent="0.25">
      <c r="D30" s="1"/>
      <c r="E30" s="1"/>
    </row>
    <row r="31" spans="1:35" s="3" customFormat="1" x14ac:dyDescent="0.25">
      <c r="D31" s="1"/>
      <c r="E31" s="1"/>
    </row>
    <row r="32" spans="1:3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K85"/>
  <sheetViews>
    <sheetView showGridLines="0" tabSelected="1" topLeftCell="A19" zoomScale="84" zoomScaleNormal="84" workbookViewId="0">
      <selection activeCell="E56" sqref="E56"/>
    </sheetView>
  </sheetViews>
  <sheetFormatPr baseColWidth="10" defaultRowHeight="12.5" x14ac:dyDescent="0.25"/>
  <cols>
    <col min="1" max="1" width="9.81640625" customWidth="1"/>
    <col min="2" max="2" width="31.5429687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131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f>'11 2022'!D71</f>
        <v>9976.2200000000048</v>
      </c>
      <c r="E5" s="179"/>
      <c r="F5" s="180">
        <f>'11 2022'!F71</f>
        <v>507.50000000000006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10483.720000000005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170" customFormat="1" ht="12" customHeight="1" x14ac:dyDescent="0.25">
      <c r="A6" s="271">
        <v>44896</v>
      </c>
      <c r="B6" s="222" t="s">
        <v>706</v>
      </c>
      <c r="C6" s="272" t="s">
        <v>145</v>
      </c>
      <c r="D6" s="283">
        <v>446.8</v>
      </c>
      <c r="E6" s="223"/>
      <c r="F6" s="224"/>
      <c r="G6" s="284">
        <v>446.8</v>
      </c>
      <c r="H6" s="302"/>
      <c r="I6" s="225"/>
      <c r="J6" s="225"/>
      <c r="K6" s="226"/>
      <c r="L6" s="225"/>
      <c r="M6" s="225"/>
      <c r="N6" s="225"/>
      <c r="O6" s="303"/>
      <c r="P6" s="316"/>
      <c r="Q6" s="227"/>
      <c r="R6" s="227"/>
      <c r="S6" s="227"/>
      <c r="T6" s="227"/>
      <c r="U6" s="228"/>
      <c r="V6" s="227"/>
      <c r="W6" s="229"/>
      <c r="X6" s="227"/>
      <c r="Y6" s="227"/>
      <c r="Z6" s="227"/>
      <c r="AA6" s="317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170" customFormat="1" ht="12" customHeight="1" x14ac:dyDescent="0.25">
      <c r="A7" s="273">
        <v>44897</v>
      </c>
      <c r="B7" s="231" t="s">
        <v>138</v>
      </c>
      <c r="C7" s="274" t="s">
        <v>145</v>
      </c>
      <c r="D7" s="285"/>
      <c r="E7" s="218">
        <v>10.44</v>
      </c>
      <c r="F7" s="219"/>
      <c r="G7" s="286"/>
      <c r="H7" s="304"/>
      <c r="I7" s="185"/>
      <c r="J7" s="185"/>
      <c r="K7" s="186"/>
      <c r="L7" s="185"/>
      <c r="M7" s="185"/>
      <c r="N7" s="185"/>
      <c r="O7" s="305"/>
      <c r="P7" s="318"/>
      <c r="Q7" s="191"/>
      <c r="R7" s="191"/>
      <c r="S7" s="191"/>
      <c r="T7" s="191"/>
      <c r="U7" s="232"/>
      <c r="V7" s="191"/>
      <c r="W7" s="192">
        <v>10.44</v>
      </c>
      <c r="X7" s="191"/>
      <c r="Y7" s="191"/>
      <c r="Z7" s="191"/>
      <c r="AA7" s="319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527" customFormat="1" ht="12" customHeight="1" x14ac:dyDescent="0.25">
      <c r="A8" s="511">
        <v>44897</v>
      </c>
      <c r="B8" s="512" t="s">
        <v>707</v>
      </c>
      <c r="C8" s="513" t="s">
        <v>145</v>
      </c>
      <c r="D8" s="514">
        <v>40</v>
      </c>
      <c r="E8" s="515"/>
      <c r="F8" s="516"/>
      <c r="G8" s="517"/>
      <c r="H8" s="518"/>
      <c r="I8" s="519">
        <v>40</v>
      </c>
      <c r="J8" s="519"/>
      <c r="K8" s="520"/>
      <c r="L8" s="519"/>
      <c r="M8" s="519"/>
      <c r="N8" s="519"/>
      <c r="O8" s="521"/>
      <c r="P8" s="522"/>
      <c r="Q8" s="523"/>
      <c r="R8" s="523"/>
      <c r="S8" s="523"/>
      <c r="T8" s="523"/>
      <c r="U8" s="524"/>
      <c r="V8" s="523"/>
      <c r="W8" s="525"/>
      <c r="X8" s="523"/>
      <c r="Y8" s="523"/>
      <c r="Z8" s="523"/>
      <c r="AA8" s="526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527" customFormat="1" ht="12" customHeight="1" x14ac:dyDescent="0.25">
      <c r="A9" s="511">
        <v>44898</v>
      </c>
      <c r="B9" s="512" t="s">
        <v>709</v>
      </c>
      <c r="C9" s="513" t="s">
        <v>145</v>
      </c>
      <c r="D9" s="514"/>
      <c r="E9" s="515"/>
      <c r="F9" s="516">
        <v>3</v>
      </c>
      <c r="G9" s="517"/>
      <c r="H9" s="518"/>
      <c r="I9" s="519"/>
      <c r="J9" s="519"/>
      <c r="K9" s="520">
        <v>3</v>
      </c>
      <c r="L9" s="519"/>
      <c r="M9" s="519"/>
      <c r="N9" s="519"/>
      <c r="O9" s="521"/>
      <c r="P9" s="522"/>
      <c r="Q9" s="523"/>
      <c r="R9" s="523"/>
      <c r="S9" s="523"/>
      <c r="T9" s="523"/>
      <c r="U9" s="524"/>
      <c r="V9" s="523"/>
      <c r="W9" s="525"/>
      <c r="X9" s="523"/>
      <c r="Y9" s="523"/>
      <c r="Z9" s="523"/>
      <c r="AA9" s="526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170" customFormat="1" ht="12" customHeight="1" x14ac:dyDescent="0.25">
      <c r="A10" s="273">
        <v>44898</v>
      </c>
      <c r="B10" s="231" t="s">
        <v>710</v>
      </c>
      <c r="C10" s="274" t="s">
        <v>145</v>
      </c>
      <c r="D10" s="285"/>
      <c r="E10" s="218"/>
      <c r="F10" s="219">
        <v>36</v>
      </c>
      <c r="G10" s="286"/>
      <c r="H10" s="304"/>
      <c r="I10" s="185"/>
      <c r="J10" s="185"/>
      <c r="K10" s="186">
        <v>36</v>
      </c>
      <c r="L10" s="185"/>
      <c r="M10" s="185"/>
      <c r="N10" s="185"/>
      <c r="O10" s="305"/>
      <c r="P10" s="318"/>
      <c r="Q10" s="191"/>
      <c r="R10" s="191"/>
      <c r="S10" s="191"/>
      <c r="T10" s="191"/>
      <c r="U10" s="232"/>
      <c r="V10" s="191"/>
      <c r="W10" s="192"/>
      <c r="X10" s="191"/>
      <c r="Y10" s="191"/>
      <c r="Z10" s="191"/>
      <c r="AA10" s="319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527" customFormat="1" ht="12" customHeight="1" x14ac:dyDescent="0.25">
      <c r="A11" s="511">
        <v>44898</v>
      </c>
      <c r="B11" s="512" t="s">
        <v>711</v>
      </c>
      <c r="C11" s="513" t="s">
        <v>145</v>
      </c>
      <c r="D11" s="514">
        <v>46</v>
      </c>
      <c r="E11" s="515"/>
      <c r="F11" s="516"/>
      <c r="G11" s="517"/>
      <c r="H11" s="518"/>
      <c r="I11" s="519"/>
      <c r="J11" s="519"/>
      <c r="K11" s="520">
        <v>46</v>
      </c>
      <c r="L11" s="519"/>
      <c r="M11" s="519"/>
      <c r="N11" s="519"/>
      <c r="O11" s="521"/>
      <c r="P11" s="522"/>
      <c r="Q11" s="523"/>
      <c r="R11" s="523"/>
      <c r="S11" s="523"/>
      <c r="T11" s="523"/>
      <c r="U11" s="524"/>
      <c r="V11" s="523"/>
      <c r="W11" s="525"/>
      <c r="X11" s="523"/>
      <c r="Y11" s="523"/>
      <c r="Z11" s="523"/>
      <c r="AA11" s="526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170" customFormat="1" ht="12" customHeight="1" x14ac:dyDescent="0.25">
      <c r="A12" s="273">
        <v>44898</v>
      </c>
      <c r="B12" s="231" t="s">
        <v>712</v>
      </c>
      <c r="C12" s="274" t="s">
        <v>145</v>
      </c>
      <c r="D12" s="285"/>
      <c r="E12" s="218"/>
      <c r="F12" s="219">
        <v>18</v>
      </c>
      <c r="G12" s="286"/>
      <c r="H12" s="304"/>
      <c r="I12" s="185"/>
      <c r="J12" s="185"/>
      <c r="K12" s="186">
        <v>18</v>
      </c>
      <c r="L12" s="185"/>
      <c r="M12" s="185"/>
      <c r="N12" s="185"/>
      <c r="O12" s="305"/>
      <c r="P12" s="318"/>
      <c r="Q12" s="191"/>
      <c r="R12" s="191"/>
      <c r="S12" s="191"/>
      <c r="T12" s="191"/>
      <c r="U12" s="232"/>
      <c r="V12" s="191"/>
      <c r="W12" s="192"/>
      <c r="X12" s="191"/>
      <c r="Y12" s="191"/>
      <c r="Z12" s="191"/>
      <c r="AA12" s="319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527" customFormat="1" ht="12" customHeight="1" x14ac:dyDescent="0.25">
      <c r="A13" s="511">
        <v>44898</v>
      </c>
      <c r="B13" s="512" t="s">
        <v>713</v>
      </c>
      <c r="C13" s="513" t="s">
        <v>145</v>
      </c>
      <c r="D13" s="514"/>
      <c r="E13" s="515"/>
      <c r="F13" s="516">
        <v>39</v>
      </c>
      <c r="G13" s="517"/>
      <c r="H13" s="518"/>
      <c r="I13" s="519"/>
      <c r="J13" s="519"/>
      <c r="K13" s="520">
        <v>39</v>
      </c>
      <c r="L13" s="519"/>
      <c r="M13" s="519"/>
      <c r="N13" s="519"/>
      <c r="O13" s="521"/>
      <c r="P13" s="522"/>
      <c r="Q13" s="523"/>
      <c r="R13" s="523"/>
      <c r="S13" s="523"/>
      <c r="T13" s="523"/>
      <c r="U13" s="524"/>
      <c r="V13" s="523"/>
      <c r="W13" s="525"/>
      <c r="X13" s="523"/>
      <c r="Y13" s="523"/>
      <c r="Z13" s="523"/>
      <c r="AA13" s="526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170" customFormat="1" ht="12" customHeight="1" x14ac:dyDescent="0.25">
      <c r="A14" s="273">
        <v>44898</v>
      </c>
      <c r="B14" s="231" t="s">
        <v>714</v>
      </c>
      <c r="C14" s="274" t="s">
        <v>145</v>
      </c>
      <c r="D14" s="285"/>
      <c r="E14" s="218"/>
      <c r="F14" s="219">
        <v>3</v>
      </c>
      <c r="G14" s="286"/>
      <c r="H14" s="304"/>
      <c r="I14" s="185"/>
      <c r="J14" s="185"/>
      <c r="K14" s="186">
        <v>3</v>
      </c>
      <c r="L14" s="185"/>
      <c r="M14" s="185"/>
      <c r="N14" s="185"/>
      <c r="O14" s="305"/>
      <c r="P14" s="318"/>
      <c r="Q14" s="191"/>
      <c r="R14" s="191"/>
      <c r="S14" s="191"/>
      <c r="T14" s="191"/>
      <c r="U14" s="232"/>
      <c r="V14" s="191"/>
      <c r="W14" s="192"/>
      <c r="X14" s="191"/>
      <c r="Y14" s="191"/>
      <c r="Z14" s="191"/>
      <c r="AA14" s="319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527" customFormat="1" ht="12" customHeight="1" x14ac:dyDescent="0.25">
      <c r="A15" s="511">
        <v>44898</v>
      </c>
      <c r="B15" s="512" t="s">
        <v>715</v>
      </c>
      <c r="C15" s="513" t="s">
        <v>145</v>
      </c>
      <c r="D15" s="514"/>
      <c r="E15" s="515"/>
      <c r="F15" s="516">
        <v>2.5</v>
      </c>
      <c r="G15" s="517"/>
      <c r="H15" s="518"/>
      <c r="I15" s="519"/>
      <c r="J15" s="519"/>
      <c r="K15" s="520">
        <v>2.5</v>
      </c>
      <c r="L15" s="519"/>
      <c r="M15" s="519"/>
      <c r="N15" s="519"/>
      <c r="O15" s="521"/>
      <c r="P15" s="522"/>
      <c r="Q15" s="523"/>
      <c r="R15" s="523"/>
      <c r="S15" s="523"/>
      <c r="T15" s="523"/>
      <c r="U15" s="524"/>
      <c r="V15" s="523"/>
      <c r="W15" s="525"/>
      <c r="X15" s="523"/>
      <c r="Y15" s="523"/>
      <c r="Z15" s="523"/>
      <c r="AA15" s="526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527" customFormat="1" ht="12" customHeight="1" x14ac:dyDescent="0.25">
      <c r="A16" s="511">
        <v>44898</v>
      </c>
      <c r="B16" s="512" t="s">
        <v>720</v>
      </c>
      <c r="C16" s="513" t="s">
        <v>145</v>
      </c>
      <c r="D16" s="514"/>
      <c r="E16" s="515"/>
      <c r="F16" s="516">
        <v>49</v>
      </c>
      <c r="G16" s="517"/>
      <c r="H16" s="518"/>
      <c r="I16" s="519"/>
      <c r="J16" s="519"/>
      <c r="K16" s="520">
        <v>49</v>
      </c>
      <c r="L16" s="519"/>
      <c r="M16" s="519"/>
      <c r="N16" s="519"/>
      <c r="O16" s="521"/>
      <c r="P16" s="522"/>
      <c r="Q16" s="523"/>
      <c r="R16" s="523"/>
      <c r="S16" s="523"/>
      <c r="T16" s="523"/>
      <c r="U16" s="524"/>
      <c r="V16" s="523"/>
      <c r="W16" s="525"/>
      <c r="X16" s="523"/>
      <c r="Y16" s="523"/>
      <c r="Z16" s="523"/>
      <c r="AA16" s="526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527" customFormat="1" ht="12" customHeight="1" x14ac:dyDescent="0.25">
      <c r="A17" s="511">
        <v>44898</v>
      </c>
      <c r="B17" s="512" t="s">
        <v>170</v>
      </c>
      <c r="C17" s="513" t="s">
        <v>145</v>
      </c>
      <c r="D17" s="514">
        <v>60</v>
      </c>
      <c r="E17" s="515"/>
      <c r="F17" s="516"/>
      <c r="G17" s="517"/>
      <c r="H17" s="518"/>
      <c r="I17" s="519">
        <v>60</v>
      </c>
      <c r="J17" s="519"/>
      <c r="K17" s="520"/>
      <c r="L17" s="519"/>
      <c r="M17" s="519"/>
      <c r="N17" s="519"/>
      <c r="O17" s="521"/>
      <c r="P17" s="522"/>
      <c r="Q17" s="523"/>
      <c r="R17" s="523"/>
      <c r="S17" s="523"/>
      <c r="T17" s="523"/>
      <c r="U17" s="524"/>
      <c r="V17" s="523"/>
      <c r="W17" s="525"/>
      <c r="X17" s="523"/>
      <c r="Y17" s="523"/>
      <c r="Z17" s="523"/>
      <c r="AA17" s="526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170" customFormat="1" ht="12" customHeight="1" x14ac:dyDescent="0.25">
      <c r="A18" s="273">
        <v>44900</v>
      </c>
      <c r="B18" s="231" t="s">
        <v>146</v>
      </c>
      <c r="C18" s="274" t="s">
        <v>145</v>
      </c>
      <c r="D18" s="285"/>
      <c r="E18" s="218">
        <v>29.99</v>
      </c>
      <c r="F18" s="219"/>
      <c r="G18" s="286"/>
      <c r="H18" s="304"/>
      <c r="I18" s="185"/>
      <c r="J18" s="185"/>
      <c r="K18" s="186"/>
      <c r="L18" s="185"/>
      <c r="M18" s="185"/>
      <c r="N18" s="185"/>
      <c r="O18" s="305"/>
      <c r="P18" s="318"/>
      <c r="Q18" s="191"/>
      <c r="R18" s="191"/>
      <c r="S18" s="191"/>
      <c r="T18" s="191"/>
      <c r="U18" s="232"/>
      <c r="V18" s="191">
        <v>29.99</v>
      </c>
      <c r="W18" s="192"/>
      <c r="X18" s="191"/>
      <c r="Y18" s="191"/>
      <c r="Z18" s="191"/>
      <c r="AA18" s="319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170" customFormat="1" ht="12" customHeight="1" x14ac:dyDescent="0.25">
      <c r="A19" s="273">
        <v>44900</v>
      </c>
      <c r="B19" s="231" t="s">
        <v>380</v>
      </c>
      <c r="C19" s="274" t="s">
        <v>145</v>
      </c>
      <c r="D19" s="285">
        <v>88</v>
      </c>
      <c r="E19" s="218"/>
      <c r="F19" s="219"/>
      <c r="G19" s="286"/>
      <c r="H19" s="304"/>
      <c r="I19" s="185">
        <v>88</v>
      </c>
      <c r="J19" s="185"/>
      <c r="K19" s="186"/>
      <c r="L19" s="185"/>
      <c r="M19" s="185"/>
      <c r="N19" s="185"/>
      <c r="O19" s="305"/>
      <c r="P19" s="318"/>
      <c r="Q19" s="191"/>
      <c r="R19" s="191"/>
      <c r="S19" s="191"/>
      <c r="T19" s="191"/>
      <c r="U19" s="232"/>
      <c r="V19" s="191"/>
      <c r="W19" s="192"/>
      <c r="X19" s="191"/>
      <c r="Y19" s="191"/>
      <c r="Z19" s="191"/>
      <c r="AA19" s="319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170" customFormat="1" ht="12" customHeight="1" x14ac:dyDescent="0.25">
      <c r="A20" s="273">
        <v>44901</v>
      </c>
      <c r="B20" s="231" t="s">
        <v>625</v>
      </c>
      <c r="C20" s="274" t="s">
        <v>145</v>
      </c>
      <c r="D20" s="285">
        <v>144</v>
      </c>
      <c r="E20" s="218"/>
      <c r="F20" s="219"/>
      <c r="G20" s="286"/>
      <c r="H20" s="304"/>
      <c r="I20" s="185">
        <v>144</v>
      </c>
      <c r="J20" s="185"/>
      <c r="K20" s="186"/>
      <c r="L20" s="185"/>
      <c r="M20" s="185"/>
      <c r="N20" s="185"/>
      <c r="O20" s="305"/>
      <c r="P20" s="318"/>
      <c r="Q20" s="191"/>
      <c r="R20" s="191"/>
      <c r="S20" s="191"/>
      <c r="T20" s="191"/>
      <c r="U20" s="232"/>
      <c r="V20" s="191"/>
      <c r="W20" s="192"/>
      <c r="X20" s="191"/>
      <c r="Y20" s="191"/>
      <c r="Z20" s="191"/>
      <c r="AA20" s="319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170" customFormat="1" ht="12" customHeight="1" x14ac:dyDescent="0.25">
      <c r="A21" s="273">
        <v>44902</v>
      </c>
      <c r="B21" s="231" t="s">
        <v>196</v>
      </c>
      <c r="C21" s="274" t="s">
        <v>145</v>
      </c>
      <c r="D21" s="285">
        <v>60</v>
      </c>
      <c r="E21" s="218"/>
      <c r="F21" s="219"/>
      <c r="G21" s="286"/>
      <c r="H21" s="304"/>
      <c r="I21" s="185">
        <v>60</v>
      </c>
      <c r="J21" s="185"/>
      <c r="K21" s="186"/>
      <c r="L21" s="185"/>
      <c r="M21" s="185"/>
      <c r="N21" s="185"/>
      <c r="O21" s="305"/>
      <c r="P21" s="318"/>
      <c r="Q21" s="191"/>
      <c r="R21" s="191"/>
      <c r="S21" s="191"/>
      <c r="T21" s="191"/>
      <c r="U21" s="232"/>
      <c r="V21" s="191"/>
      <c r="W21" s="192"/>
      <c r="X21" s="191"/>
      <c r="Y21" s="191"/>
      <c r="Z21" s="191"/>
      <c r="AA21" s="319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170" customFormat="1" ht="12" customHeight="1" x14ac:dyDescent="0.25">
      <c r="A22" s="273">
        <v>44902</v>
      </c>
      <c r="B22" s="231" t="s">
        <v>716</v>
      </c>
      <c r="C22" s="274" t="s">
        <v>145</v>
      </c>
      <c r="D22" s="285"/>
      <c r="E22" s="218"/>
      <c r="F22" s="219">
        <v>32.21</v>
      </c>
      <c r="G22" s="286"/>
      <c r="H22" s="304">
        <v>32.21</v>
      </c>
      <c r="I22" s="185"/>
      <c r="J22" s="185"/>
      <c r="K22" s="186"/>
      <c r="L22" s="185"/>
      <c r="M22" s="185"/>
      <c r="N22" s="185"/>
      <c r="O22" s="305"/>
      <c r="P22" s="318"/>
      <c r="Q22" s="191"/>
      <c r="R22" s="191"/>
      <c r="S22" s="191"/>
      <c r="T22" s="191"/>
      <c r="U22" s="232"/>
      <c r="V22" s="191"/>
      <c r="W22" s="192"/>
      <c r="X22" s="191"/>
      <c r="Y22" s="191"/>
      <c r="Z22" s="191"/>
      <c r="AA22" s="319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170" customFormat="1" ht="12" customHeight="1" x14ac:dyDescent="0.25">
      <c r="A23" s="273">
        <v>44904</v>
      </c>
      <c r="B23" s="231" t="s">
        <v>717</v>
      </c>
      <c r="C23" s="274" t="s">
        <v>145</v>
      </c>
      <c r="D23" s="285"/>
      <c r="E23" s="218">
        <v>1154</v>
      </c>
      <c r="F23" s="219"/>
      <c r="G23" s="286"/>
      <c r="H23" s="304"/>
      <c r="I23" s="185"/>
      <c r="J23" s="185"/>
      <c r="K23" s="186"/>
      <c r="L23" s="185"/>
      <c r="M23" s="185"/>
      <c r="N23" s="185"/>
      <c r="O23" s="305"/>
      <c r="P23" s="318"/>
      <c r="Q23" s="191"/>
      <c r="R23" s="191"/>
      <c r="S23" s="191"/>
      <c r="T23" s="191">
        <v>1154</v>
      </c>
      <c r="U23" s="232"/>
      <c r="V23" s="191"/>
      <c r="W23" s="192"/>
      <c r="X23" s="191"/>
      <c r="Y23" s="191"/>
      <c r="Z23" s="191"/>
      <c r="AA23" s="319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170" customFormat="1" ht="12" customHeight="1" x14ac:dyDescent="0.25">
      <c r="A24" s="273">
        <v>44904</v>
      </c>
      <c r="B24" s="231" t="s">
        <v>718</v>
      </c>
      <c r="C24" s="274" t="s">
        <v>145</v>
      </c>
      <c r="D24" s="285"/>
      <c r="E24" s="218">
        <v>540</v>
      </c>
      <c r="F24" s="219"/>
      <c r="G24" s="286"/>
      <c r="H24" s="304"/>
      <c r="I24" s="185"/>
      <c r="J24" s="185"/>
      <c r="K24" s="186"/>
      <c r="L24" s="185"/>
      <c r="M24" s="185"/>
      <c r="N24" s="185"/>
      <c r="O24" s="305"/>
      <c r="P24" s="318"/>
      <c r="Q24" s="191"/>
      <c r="R24" s="191"/>
      <c r="S24" s="191"/>
      <c r="T24" s="191">
        <v>540</v>
      </c>
      <c r="U24" s="232"/>
      <c r="V24" s="191"/>
      <c r="W24" s="192"/>
      <c r="X24" s="191"/>
      <c r="Y24" s="191"/>
      <c r="Z24" s="191"/>
      <c r="AA24" s="319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170" customFormat="1" ht="12" customHeight="1" x14ac:dyDescent="0.25">
      <c r="A25" s="273">
        <v>44905</v>
      </c>
      <c r="B25" s="231" t="s">
        <v>719</v>
      </c>
      <c r="C25" s="274" t="s">
        <v>145</v>
      </c>
      <c r="D25" s="285"/>
      <c r="E25" s="218">
        <v>10.64</v>
      </c>
      <c r="F25" s="219"/>
      <c r="G25" s="286"/>
      <c r="H25" s="304"/>
      <c r="I25" s="185"/>
      <c r="J25" s="185"/>
      <c r="K25" s="186"/>
      <c r="L25" s="185"/>
      <c r="M25" s="185"/>
      <c r="N25" s="185"/>
      <c r="O25" s="305"/>
      <c r="P25" s="318"/>
      <c r="Q25" s="191"/>
      <c r="R25" s="191"/>
      <c r="S25" s="191"/>
      <c r="T25" s="191"/>
      <c r="U25" s="232"/>
      <c r="V25" s="191"/>
      <c r="W25" s="192"/>
      <c r="X25" s="191"/>
      <c r="Y25" s="191">
        <v>10.64</v>
      </c>
      <c r="Z25" s="191"/>
      <c r="AA25" s="319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170" customFormat="1" ht="12" customHeight="1" x14ac:dyDescent="0.25">
      <c r="A26" s="273">
        <v>44905</v>
      </c>
      <c r="B26" s="231" t="s">
        <v>195</v>
      </c>
      <c r="C26" s="274" t="s">
        <v>145</v>
      </c>
      <c r="D26" s="285">
        <v>103</v>
      </c>
      <c r="E26" s="218"/>
      <c r="F26" s="219"/>
      <c r="G26" s="286"/>
      <c r="H26" s="304"/>
      <c r="I26" s="185">
        <v>103</v>
      </c>
      <c r="J26" s="185"/>
      <c r="K26" s="186"/>
      <c r="L26" s="185"/>
      <c r="M26" s="185"/>
      <c r="N26" s="185"/>
      <c r="O26" s="305"/>
      <c r="P26" s="318"/>
      <c r="Q26" s="191"/>
      <c r="R26" s="191"/>
      <c r="S26" s="191"/>
      <c r="T26" s="191"/>
      <c r="U26" s="232"/>
      <c r="V26" s="191"/>
      <c r="W26" s="192"/>
      <c r="X26" s="191"/>
      <c r="Y26" s="191"/>
      <c r="Z26" s="191"/>
      <c r="AA26" s="319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170" customFormat="1" ht="12" customHeight="1" x14ac:dyDescent="0.25">
      <c r="A27" s="273">
        <v>44907</v>
      </c>
      <c r="B27" s="231" t="s">
        <v>475</v>
      </c>
      <c r="C27" s="274" t="s">
        <v>145</v>
      </c>
      <c r="D27" s="285">
        <v>73</v>
      </c>
      <c r="E27" s="218"/>
      <c r="F27" s="219"/>
      <c r="G27" s="286"/>
      <c r="H27" s="304"/>
      <c r="I27" s="185">
        <v>73</v>
      </c>
      <c r="J27" s="185"/>
      <c r="K27" s="186"/>
      <c r="L27" s="185"/>
      <c r="M27" s="185"/>
      <c r="N27" s="185"/>
      <c r="O27" s="305"/>
      <c r="P27" s="318"/>
      <c r="Q27" s="191"/>
      <c r="R27" s="191"/>
      <c r="S27" s="191"/>
      <c r="T27" s="191"/>
      <c r="U27" s="232"/>
      <c r="V27" s="191"/>
      <c r="W27" s="192"/>
      <c r="X27" s="191"/>
      <c r="Y27" s="191"/>
      <c r="Z27" s="191"/>
      <c r="AA27" s="319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170" customFormat="1" ht="12" customHeight="1" x14ac:dyDescent="0.25">
      <c r="A28" s="273">
        <v>44910</v>
      </c>
      <c r="B28" s="231" t="s">
        <v>727</v>
      </c>
      <c r="C28" s="274" t="s">
        <v>145</v>
      </c>
      <c r="D28" s="285"/>
      <c r="E28" s="218">
        <v>99</v>
      </c>
      <c r="F28" s="219"/>
      <c r="G28" s="286"/>
      <c r="H28" s="304"/>
      <c r="I28" s="185"/>
      <c r="J28" s="185"/>
      <c r="K28" s="186"/>
      <c r="L28" s="185"/>
      <c r="M28" s="185"/>
      <c r="N28" s="185"/>
      <c r="O28" s="305"/>
      <c r="P28" s="318"/>
      <c r="Q28" s="191"/>
      <c r="R28" s="191"/>
      <c r="S28" s="191"/>
      <c r="T28" s="191"/>
      <c r="U28" s="232"/>
      <c r="V28" s="191">
        <v>99</v>
      </c>
      <c r="W28" s="192"/>
      <c r="X28" s="191"/>
      <c r="Y28" s="191"/>
      <c r="Z28" s="191"/>
      <c r="AA28" s="319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170" customFormat="1" ht="12" customHeight="1" x14ac:dyDescent="0.25">
      <c r="A29" s="273">
        <v>44911</v>
      </c>
      <c r="B29" s="231" t="s">
        <v>144</v>
      </c>
      <c r="C29" s="274" t="s">
        <v>145</v>
      </c>
      <c r="D29" s="285">
        <v>113.24</v>
      </c>
      <c r="E29" s="218"/>
      <c r="F29" s="219"/>
      <c r="G29" s="286"/>
      <c r="H29" s="304"/>
      <c r="I29" s="185">
        <v>113.24</v>
      </c>
      <c r="J29" s="185"/>
      <c r="K29" s="186"/>
      <c r="L29" s="185"/>
      <c r="M29" s="185"/>
      <c r="N29" s="185"/>
      <c r="O29" s="305"/>
      <c r="P29" s="318"/>
      <c r="Q29" s="191"/>
      <c r="R29" s="191"/>
      <c r="S29" s="191"/>
      <c r="T29" s="191"/>
      <c r="U29" s="232"/>
      <c r="V29" s="191"/>
      <c r="W29" s="192"/>
      <c r="X29" s="191"/>
      <c r="Y29" s="191"/>
      <c r="Z29" s="191"/>
      <c r="AA29" s="319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170" customFormat="1" ht="12" customHeight="1" x14ac:dyDescent="0.25">
      <c r="A30" s="273">
        <v>44912</v>
      </c>
      <c r="B30" s="231" t="s">
        <v>728</v>
      </c>
      <c r="C30" s="274" t="s">
        <v>145</v>
      </c>
      <c r="D30" s="285"/>
      <c r="E30" s="218">
        <v>290.26</v>
      </c>
      <c r="F30" s="219"/>
      <c r="G30" s="286"/>
      <c r="H30" s="304"/>
      <c r="I30" s="185"/>
      <c r="J30" s="185"/>
      <c r="K30" s="186"/>
      <c r="L30" s="185"/>
      <c r="M30" s="185"/>
      <c r="N30" s="185"/>
      <c r="O30" s="305"/>
      <c r="P30" s="318"/>
      <c r="Q30" s="191"/>
      <c r="R30" s="191"/>
      <c r="S30" s="191"/>
      <c r="T30" s="191">
        <v>290.26</v>
      </c>
      <c r="U30" s="232"/>
      <c r="V30" s="191"/>
      <c r="W30" s="192"/>
      <c r="X30" s="191"/>
      <c r="Y30" s="191"/>
      <c r="Z30" s="191"/>
      <c r="AA30" s="319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170" customFormat="1" ht="12" customHeight="1" x14ac:dyDescent="0.25">
      <c r="A31" s="273">
        <v>44912</v>
      </c>
      <c r="B31" s="231" t="s">
        <v>729</v>
      </c>
      <c r="C31" s="274" t="s">
        <v>145</v>
      </c>
      <c r="D31" s="285">
        <v>100</v>
      </c>
      <c r="E31" s="218"/>
      <c r="F31" s="219"/>
      <c r="G31" s="286"/>
      <c r="H31" s="304"/>
      <c r="I31" s="185">
        <v>100</v>
      </c>
      <c r="J31" s="185"/>
      <c r="K31" s="186"/>
      <c r="L31" s="185"/>
      <c r="M31" s="185"/>
      <c r="N31" s="185"/>
      <c r="O31" s="305"/>
      <c r="P31" s="318"/>
      <c r="Q31" s="191"/>
      <c r="R31" s="191"/>
      <c r="S31" s="191"/>
      <c r="T31" s="191"/>
      <c r="U31" s="232"/>
      <c r="V31" s="191"/>
      <c r="W31" s="192"/>
      <c r="X31" s="191"/>
      <c r="Y31" s="191"/>
      <c r="Z31" s="191"/>
      <c r="AA31" s="319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170" customFormat="1" ht="12" customHeight="1" x14ac:dyDescent="0.25">
      <c r="A32" s="273">
        <v>44912</v>
      </c>
      <c r="B32" s="231" t="s">
        <v>721</v>
      </c>
      <c r="C32" s="274" t="s">
        <v>145</v>
      </c>
      <c r="D32" s="285"/>
      <c r="E32" s="218"/>
      <c r="F32" s="219">
        <v>19.5</v>
      </c>
      <c r="G32" s="286"/>
      <c r="H32" s="304"/>
      <c r="I32" s="185"/>
      <c r="J32" s="185"/>
      <c r="K32" s="186">
        <v>19.5</v>
      </c>
      <c r="L32" s="185"/>
      <c r="M32" s="185"/>
      <c r="N32" s="185"/>
      <c r="O32" s="305"/>
      <c r="P32" s="318"/>
      <c r="Q32" s="191"/>
      <c r="R32" s="191"/>
      <c r="S32" s="191"/>
      <c r="T32" s="191"/>
      <c r="U32" s="232"/>
      <c r="V32" s="191"/>
      <c r="W32" s="192"/>
      <c r="X32" s="191"/>
      <c r="Y32" s="191"/>
      <c r="Z32" s="191"/>
      <c r="AA32" s="319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170" customFormat="1" ht="12" customHeight="1" x14ac:dyDescent="0.25">
      <c r="A33" s="273">
        <v>44912</v>
      </c>
      <c r="B33" s="231" t="s">
        <v>722</v>
      </c>
      <c r="C33" s="274" t="s">
        <v>145</v>
      </c>
      <c r="D33" s="285">
        <v>203.5</v>
      </c>
      <c r="E33" s="218"/>
      <c r="F33" s="219"/>
      <c r="G33" s="286"/>
      <c r="H33" s="304"/>
      <c r="I33" s="185"/>
      <c r="J33" s="185"/>
      <c r="K33" s="186">
        <v>203.5</v>
      </c>
      <c r="L33" s="185"/>
      <c r="M33" s="185"/>
      <c r="N33" s="185"/>
      <c r="O33" s="305"/>
      <c r="P33" s="318"/>
      <c r="Q33" s="191"/>
      <c r="R33" s="191"/>
      <c r="S33" s="191"/>
      <c r="T33" s="191"/>
      <c r="U33" s="232"/>
      <c r="V33" s="191"/>
      <c r="W33" s="192"/>
      <c r="X33" s="191"/>
      <c r="Y33" s="191"/>
      <c r="Z33" s="191"/>
      <c r="AA33" s="319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170" customFormat="1" ht="12" customHeight="1" x14ac:dyDescent="0.25">
      <c r="A34" s="273">
        <v>44912</v>
      </c>
      <c r="B34" s="231" t="s">
        <v>723</v>
      </c>
      <c r="C34" s="274" t="s">
        <v>145</v>
      </c>
      <c r="D34" s="285">
        <v>233.5</v>
      </c>
      <c r="E34" s="218"/>
      <c r="F34" s="219"/>
      <c r="G34" s="286"/>
      <c r="H34" s="304"/>
      <c r="I34" s="185"/>
      <c r="J34" s="185"/>
      <c r="K34" s="186">
        <v>233.5</v>
      </c>
      <c r="L34" s="185"/>
      <c r="M34" s="185"/>
      <c r="N34" s="185"/>
      <c r="O34" s="305"/>
      <c r="P34" s="318"/>
      <c r="Q34" s="191"/>
      <c r="R34" s="191"/>
      <c r="S34" s="191"/>
      <c r="T34" s="191"/>
      <c r="U34" s="232"/>
      <c r="V34" s="191"/>
      <c r="W34" s="192"/>
      <c r="X34" s="191"/>
      <c r="Y34" s="191"/>
      <c r="Z34" s="191"/>
      <c r="AA34" s="319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170" customFormat="1" ht="12" customHeight="1" x14ac:dyDescent="0.25">
      <c r="A35" s="273">
        <v>44912</v>
      </c>
      <c r="B35" s="231" t="s">
        <v>724</v>
      </c>
      <c r="C35" s="274" t="s">
        <v>145</v>
      </c>
      <c r="D35" s="285"/>
      <c r="E35" s="218"/>
      <c r="F35" s="219">
        <v>105.5</v>
      </c>
      <c r="G35" s="286"/>
      <c r="H35" s="304"/>
      <c r="I35" s="185"/>
      <c r="J35" s="185"/>
      <c r="K35" s="186">
        <v>105.5</v>
      </c>
      <c r="L35" s="185"/>
      <c r="M35" s="185"/>
      <c r="N35" s="185"/>
      <c r="O35" s="305"/>
      <c r="P35" s="318"/>
      <c r="Q35" s="191"/>
      <c r="R35" s="191"/>
      <c r="S35" s="191"/>
      <c r="T35" s="191"/>
      <c r="U35" s="232"/>
      <c r="V35" s="191"/>
      <c r="W35" s="192"/>
      <c r="X35" s="191"/>
      <c r="Y35" s="191"/>
      <c r="Z35" s="191"/>
      <c r="AA35" s="319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170" customFormat="1" ht="12" customHeight="1" x14ac:dyDescent="0.25">
      <c r="A36" s="273">
        <v>44912</v>
      </c>
      <c r="B36" s="231" t="s">
        <v>725</v>
      </c>
      <c r="C36" s="274" t="s">
        <v>145</v>
      </c>
      <c r="D36" s="285">
        <v>15</v>
      </c>
      <c r="E36" s="218"/>
      <c r="F36" s="219"/>
      <c r="G36" s="286"/>
      <c r="H36" s="304"/>
      <c r="I36" s="185"/>
      <c r="J36" s="185"/>
      <c r="K36" s="186">
        <v>15</v>
      </c>
      <c r="L36" s="185"/>
      <c r="M36" s="185"/>
      <c r="N36" s="185"/>
      <c r="O36" s="305"/>
      <c r="P36" s="318"/>
      <c r="Q36" s="191"/>
      <c r="R36" s="191"/>
      <c r="S36" s="191"/>
      <c r="T36" s="191"/>
      <c r="U36" s="232"/>
      <c r="V36" s="191"/>
      <c r="W36" s="192"/>
      <c r="X36" s="191"/>
      <c r="Y36" s="191"/>
      <c r="Z36" s="191"/>
      <c r="AA36" s="319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170" customFormat="1" ht="12" customHeight="1" x14ac:dyDescent="0.25">
      <c r="A37" s="273">
        <v>44912</v>
      </c>
      <c r="B37" s="231" t="s">
        <v>726</v>
      </c>
      <c r="C37" s="274" t="s">
        <v>145</v>
      </c>
      <c r="D37" s="285">
        <v>17.5</v>
      </c>
      <c r="E37" s="218"/>
      <c r="F37" s="219"/>
      <c r="G37" s="286"/>
      <c r="H37" s="304"/>
      <c r="I37" s="185"/>
      <c r="J37" s="185"/>
      <c r="K37" s="186">
        <v>17.5</v>
      </c>
      <c r="L37" s="185"/>
      <c r="M37" s="185"/>
      <c r="N37" s="185"/>
      <c r="O37" s="305"/>
      <c r="P37" s="318"/>
      <c r="Q37" s="191"/>
      <c r="R37" s="191"/>
      <c r="S37" s="191"/>
      <c r="T37" s="191"/>
      <c r="U37" s="232"/>
      <c r="V37" s="191"/>
      <c r="W37" s="192"/>
      <c r="X37" s="191"/>
      <c r="Y37" s="191"/>
      <c r="Z37" s="191"/>
      <c r="AA37" s="319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170" customFormat="1" ht="12" customHeight="1" x14ac:dyDescent="0.25">
      <c r="A38" s="273">
        <v>44912</v>
      </c>
      <c r="B38" s="231" t="s">
        <v>730</v>
      </c>
      <c r="C38" s="274" t="s">
        <v>145</v>
      </c>
      <c r="D38" s="285"/>
      <c r="E38" s="218"/>
      <c r="F38" s="219">
        <v>1.7</v>
      </c>
      <c r="G38" s="286"/>
      <c r="H38" s="304"/>
      <c r="I38" s="185"/>
      <c r="J38" s="185"/>
      <c r="K38" s="186">
        <v>1.7</v>
      </c>
      <c r="L38" s="185"/>
      <c r="M38" s="185"/>
      <c r="N38" s="185"/>
      <c r="O38" s="305"/>
      <c r="P38" s="318"/>
      <c r="Q38" s="191"/>
      <c r="R38" s="191"/>
      <c r="S38" s="191"/>
      <c r="T38" s="191"/>
      <c r="U38" s="232"/>
      <c r="V38" s="191"/>
      <c r="W38" s="192"/>
      <c r="X38" s="191"/>
      <c r="Y38" s="191"/>
      <c r="Z38" s="191"/>
      <c r="AA38" s="319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170" customFormat="1" ht="12" customHeight="1" x14ac:dyDescent="0.25">
      <c r="A39" s="273">
        <v>44912</v>
      </c>
      <c r="B39" s="231" t="s">
        <v>731</v>
      </c>
      <c r="C39" s="274" t="s">
        <v>145</v>
      </c>
      <c r="D39" s="285">
        <v>58.5</v>
      </c>
      <c r="E39" s="218"/>
      <c r="F39" s="219"/>
      <c r="G39" s="286"/>
      <c r="H39" s="304"/>
      <c r="I39" s="185"/>
      <c r="J39" s="185"/>
      <c r="K39" s="186">
        <v>58.5</v>
      </c>
      <c r="L39" s="185"/>
      <c r="M39" s="185"/>
      <c r="N39" s="185"/>
      <c r="O39" s="305"/>
      <c r="P39" s="318"/>
      <c r="Q39" s="191"/>
      <c r="R39" s="191"/>
      <c r="S39" s="191"/>
      <c r="T39" s="191"/>
      <c r="U39" s="232"/>
      <c r="V39" s="191"/>
      <c r="W39" s="192"/>
      <c r="X39" s="191"/>
      <c r="Y39" s="191"/>
      <c r="Z39" s="191"/>
      <c r="AA39" s="319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170" customFormat="1" ht="12" customHeight="1" x14ac:dyDescent="0.25">
      <c r="A40" s="273">
        <v>44912</v>
      </c>
      <c r="B40" s="231" t="s">
        <v>732</v>
      </c>
      <c r="C40" s="532" t="s">
        <v>145</v>
      </c>
      <c r="D40" s="285"/>
      <c r="E40" s="218"/>
      <c r="F40" s="219">
        <v>11.5</v>
      </c>
      <c r="G40" s="286"/>
      <c r="H40" s="304"/>
      <c r="I40" s="185"/>
      <c r="J40" s="185"/>
      <c r="K40" s="186">
        <v>11.5</v>
      </c>
      <c r="L40" s="185"/>
      <c r="M40" s="185"/>
      <c r="N40" s="185"/>
      <c r="O40" s="305"/>
      <c r="P40" s="318"/>
      <c r="Q40" s="191"/>
      <c r="R40" s="191"/>
      <c r="S40" s="191"/>
      <c r="T40" s="191"/>
      <c r="U40" s="232"/>
      <c r="V40" s="191"/>
      <c r="W40" s="192"/>
      <c r="X40" s="191"/>
      <c r="Y40" s="191"/>
      <c r="Z40" s="191"/>
      <c r="AA40" s="319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170" customFormat="1" ht="12" customHeight="1" x14ac:dyDescent="0.25">
      <c r="A41" s="273">
        <v>44912</v>
      </c>
      <c r="B41" s="231" t="s">
        <v>733</v>
      </c>
      <c r="C41" s="532" t="s">
        <v>145</v>
      </c>
      <c r="D41" s="285"/>
      <c r="E41" s="218"/>
      <c r="F41" s="219">
        <v>12</v>
      </c>
      <c r="G41" s="286"/>
      <c r="H41" s="304"/>
      <c r="I41" s="185"/>
      <c r="J41" s="185"/>
      <c r="K41" s="186">
        <v>12</v>
      </c>
      <c r="L41" s="185"/>
      <c r="M41" s="185"/>
      <c r="N41" s="185"/>
      <c r="O41" s="305"/>
      <c r="P41" s="318"/>
      <c r="Q41" s="191"/>
      <c r="R41" s="191"/>
      <c r="S41" s="191"/>
      <c r="T41" s="191"/>
      <c r="U41" s="232"/>
      <c r="V41" s="191"/>
      <c r="W41" s="192"/>
      <c r="X41" s="191"/>
      <c r="Y41" s="191"/>
      <c r="Z41" s="191"/>
      <c r="AA41" s="319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44912</v>
      </c>
      <c r="B42" s="231" t="s">
        <v>554</v>
      </c>
      <c r="C42" s="274" t="s">
        <v>145</v>
      </c>
      <c r="D42" s="285">
        <v>300</v>
      </c>
      <c r="E42" s="218"/>
      <c r="F42" s="219"/>
      <c r="G42" s="286"/>
      <c r="H42" s="304"/>
      <c r="I42" s="185">
        <v>300</v>
      </c>
      <c r="J42" s="185"/>
      <c r="K42" s="186"/>
      <c r="L42" s="185"/>
      <c r="M42" s="185"/>
      <c r="N42" s="185"/>
      <c r="O42" s="305"/>
      <c r="P42" s="318"/>
      <c r="Q42" s="191"/>
      <c r="R42" s="191"/>
      <c r="S42" s="191"/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170" customFormat="1" ht="12" customHeight="1" x14ac:dyDescent="0.25">
      <c r="A43" s="273">
        <v>44912</v>
      </c>
      <c r="B43" s="231" t="s">
        <v>459</v>
      </c>
      <c r="C43" s="274" t="s">
        <v>145</v>
      </c>
      <c r="D43" s="285">
        <v>140</v>
      </c>
      <c r="E43" s="218"/>
      <c r="F43" s="219"/>
      <c r="G43" s="286"/>
      <c r="H43" s="304"/>
      <c r="I43" s="185">
        <v>140</v>
      </c>
      <c r="J43" s="185"/>
      <c r="K43" s="186"/>
      <c r="L43" s="185"/>
      <c r="M43" s="185"/>
      <c r="N43" s="185"/>
      <c r="O43" s="305"/>
      <c r="P43" s="318"/>
      <c r="Q43" s="191"/>
      <c r="R43" s="191"/>
      <c r="S43" s="191"/>
      <c r="T43" s="191"/>
      <c r="U43" s="232"/>
      <c r="V43" s="191"/>
      <c r="W43" s="192"/>
      <c r="X43" s="191"/>
      <c r="Y43" s="191"/>
      <c r="Z43" s="191"/>
      <c r="AA43" s="319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170" customFormat="1" ht="12" customHeight="1" x14ac:dyDescent="0.25">
      <c r="A44" s="273">
        <v>44915</v>
      </c>
      <c r="B44" s="231" t="s">
        <v>409</v>
      </c>
      <c r="C44" s="274" t="s">
        <v>145</v>
      </c>
      <c r="D44" s="285">
        <v>50</v>
      </c>
      <c r="E44" s="218"/>
      <c r="F44" s="219"/>
      <c r="G44" s="286"/>
      <c r="H44" s="304"/>
      <c r="I44" s="185">
        <v>50</v>
      </c>
      <c r="J44" s="185"/>
      <c r="K44" s="186"/>
      <c r="L44" s="185"/>
      <c r="M44" s="185"/>
      <c r="N44" s="185"/>
      <c r="O44" s="305"/>
      <c r="P44" s="318"/>
      <c r="Q44" s="191"/>
      <c r="R44" s="191"/>
      <c r="S44" s="191"/>
      <c r="T44" s="191"/>
      <c r="U44" s="232"/>
      <c r="V44" s="191"/>
      <c r="W44" s="192"/>
      <c r="X44" s="191"/>
      <c r="Y44" s="191"/>
      <c r="Z44" s="191"/>
      <c r="AA44" s="319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170" customFormat="1" ht="12" customHeight="1" x14ac:dyDescent="0.25">
      <c r="A45" s="273">
        <v>44915</v>
      </c>
      <c r="B45" s="231" t="s">
        <v>734</v>
      </c>
      <c r="C45" s="274" t="s">
        <v>145</v>
      </c>
      <c r="D45" s="285"/>
      <c r="E45" s="218">
        <v>200</v>
      </c>
      <c r="F45" s="219"/>
      <c r="G45" s="286"/>
      <c r="H45" s="304"/>
      <c r="I45" s="185"/>
      <c r="J45" s="185"/>
      <c r="K45" s="186"/>
      <c r="L45" s="185"/>
      <c r="M45" s="185"/>
      <c r="N45" s="185"/>
      <c r="O45" s="305"/>
      <c r="P45" s="318"/>
      <c r="Q45" s="191"/>
      <c r="R45" s="191"/>
      <c r="S45" s="191"/>
      <c r="T45" s="191"/>
      <c r="U45" s="232">
        <v>200</v>
      </c>
      <c r="V45" s="191"/>
      <c r="W45" s="192"/>
      <c r="X45" s="191"/>
      <c r="Y45" s="191"/>
      <c r="Z45" s="191"/>
      <c r="AA45" s="319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170" customFormat="1" ht="12" customHeight="1" x14ac:dyDescent="0.25">
      <c r="A46" s="273">
        <v>44916</v>
      </c>
      <c r="B46" s="231" t="s">
        <v>141</v>
      </c>
      <c r="C46" s="274" t="s">
        <v>145</v>
      </c>
      <c r="D46" s="285">
        <v>50</v>
      </c>
      <c r="E46" s="218"/>
      <c r="F46" s="219"/>
      <c r="G46" s="286"/>
      <c r="H46" s="304"/>
      <c r="I46" s="185">
        <v>50</v>
      </c>
      <c r="J46" s="185"/>
      <c r="K46" s="186"/>
      <c r="L46" s="185"/>
      <c r="M46" s="185"/>
      <c r="N46" s="185"/>
      <c r="O46" s="305"/>
      <c r="P46" s="318"/>
      <c r="Q46" s="191"/>
      <c r="R46" s="191"/>
      <c r="S46" s="191"/>
      <c r="T46" s="191"/>
      <c r="U46" s="232"/>
      <c r="V46" s="191"/>
      <c r="W46" s="192"/>
      <c r="X46" s="191"/>
      <c r="Y46" s="191"/>
      <c r="Z46" s="191"/>
      <c r="AA46" s="319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170" customFormat="1" ht="12" customHeight="1" x14ac:dyDescent="0.25">
      <c r="A47" s="273">
        <v>44918</v>
      </c>
      <c r="B47" s="231" t="s">
        <v>552</v>
      </c>
      <c r="C47" s="274" t="s">
        <v>145</v>
      </c>
      <c r="D47" s="285"/>
      <c r="E47" s="218">
        <v>238.29</v>
      </c>
      <c r="F47" s="219"/>
      <c r="G47" s="286"/>
      <c r="H47" s="304"/>
      <c r="I47" s="185"/>
      <c r="J47" s="185"/>
      <c r="K47" s="186"/>
      <c r="L47" s="185"/>
      <c r="M47" s="185"/>
      <c r="N47" s="185"/>
      <c r="O47" s="305"/>
      <c r="P47" s="318">
        <v>238.29</v>
      </c>
      <c r="Q47" s="191"/>
      <c r="R47" s="191"/>
      <c r="S47" s="191"/>
      <c r="T47" s="191"/>
      <c r="U47" s="232"/>
      <c r="V47" s="191"/>
      <c r="W47" s="192"/>
      <c r="X47" s="191"/>
      <c r="Y47" s="191"/>
      <c r="Z47" s="191"/>
      <c r="AA47" s="319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170" customFormat="1" ht="12" customHeight="1" x14ac:dyDescent="0.25">
      <c r="A48" s="273">
        <v>44919</v>
      </c>
      <c r="B48" s="231" t="s">
        <v>735</v>
      </c>
      <c r="C48" s="274" t="s">
        <v>145</v>
      </c>
      <c r="D48" s="285">
        <v>126</v>
      </c>
      <c r="E48" s="218"/>
      <c r="F48" s="219"/>
      <c r="G48" s="286"/>
      <c r="H48" s="304"/>
      <c r="I48" s="185"/>
      <c r="J48" s="185"/>
      <c r="K48" s="186">
        <v>43</v>
      </c>
      <c r="L48" s="185"/>
      <c r="M48" s="185"/>
      <c r="N48" s="185"/>
      <c r="O48" s="305"/>
      <c r="P48" s="318"/>
      <c r="Q48" s="191"/>
      <c r="R48" s="191"/>
      <c r="S48" s="191"/>
      <c r="T48" s="191"/>
      <c r="U48" s="232"/>
      <c r="V48" s="191"/>
      <c r="W48" s="192"/>
      <c r="X48" s="191"/>
      <c r="Y48" s="191"/>
      <c r="Z48" s="191"/>
      <c r="AA48" s="319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170" customFormat="1" ht="12" customHeight="1" x14ac:dyDescent="0.25">
      <c r="A49" s="273">
        <v>44919</v>
      </c>
      <c r="B49" s="231" t="s">
        <v>737</v>
      </c>
      <c r="C49" s="274" t="s">
        <v>145</v>
      </c>
      <c r="D49" s="285"/>
      <c r="E49" s="218"/>
      <c r="F49" s="219"/>
      <c r="G49" s="286"/>
      <c r="H49" s="304"/>
      <c r="I49" s="185"/>
      <c r="J49" s="185"/>
      <c r="K49" s="186">
        <v>83</v>
      </c>
      <c r="L49" s="185"/>
      <c r="M49" s="185"/>
      <c r="N49" s="185"/>
      <c r="O49" s="305"/>
      <c r="P49" s="318"/>
      <c r="Q49" s="191"/>
      <c r="R49" s="191"/>
      <c r="S49" s="191"/>
      <c r="T49" s="191"/>
      <c r="U49" s="232"/>
      <c r="V49" s="191"/>
      <c r="W49" s="192"/>
      <c r="X49" s="191"/>
      <c r="Y49" s="191"/>
      <c r="Z49" s="191"/>
      <c r="AA49" s="319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44919</v>
      </c>
      <c r="B50" s="231" t="s">
        <v>736</v>
      </c>
      <c r="C50" s="274" t="s">
        <v>145</v>
      </c>
      <c r="D50" s="285"/>
      <c r="E50" s="218"/>
      <c r="F50" s="219">
        <v>54</v>
      </c>
      <c r="G50" s="286"/>
      <c r="H50" s="304"/>
      <c r="I50" s="185"/>
      <c r="J50" s="185"/>
      <c r="K50" s="186">
        <v>54</v>
      </c>
      <c r="L50" s="185"/>
      <c r="M50" s="185"/>
      <c r="N50" s="185"/>
      <c r="O50" s="305"/>
      <c r="P50" s="318"/>
      <c r="Q50" s="191"/>
      <c r="R50" s="191"/>
      <c r="S50" s="191"/>
      <c r="T50" s="191"/>
      <c r="U50" s="232"/>
      <c r="V50" s="191"/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170" customFormat="1" ht="12" customHeight="1" x14ac:dyDescent="0.25">
      <c r="A51" s="273">
        <v>44919</v>
      </c>
      <c r="B51" s="231" t="s">
        <v>738</v>
      </c>
      <c r="C51" s="274" t="s">
        <v>145</v>
      </c>
      <c r="D51" s="285"/>
      <c r="E51" s="218"/>
      <c r="F51" s="219">
        <v>12</v>
      </c>
      <c r="G51" s="286"/>
      <c r="H51" s="304"/>
      <c r="I51" s="185"/>
      <c r="J51" s="185"/>
      <c r="K51" s="186">
        <v>12</v>
      </c>
      <c r="L51" s="185"/>
      <c r="M51" s="185"/>
      <c r="N51" s="185"/>
      <c r="O51" s="305"/>
      <c r="P51" s="318"/>
      <c r="Q51" s="191"/>
      <c r="R51" s="191"/>
      <c r="S51" s="191"/>
      <c r="T51" s="191"/>
      <c r="U51" s="232"/>
      <c r="V51" s="191"/>
      <c r="W51" s="192"/>
      <c r="X51" s="191"/>
      <c r="Y51" s="191"/>
      <c r="Z51" s="191"/>
      <c r="AA51" s="319"/>
      <c r="AB51" s="168"/>
      <c r="AC51" s="168"/>
      <c r="AD51" s="168"/>
      <c r="AE51" s="168"/>
      <c r="AF51" s="168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</row>
    <row r="52" spans="1:115" s="170" customFormat="1" ht="12" customHeight="1" x14ac:dyDescent="0.25">
      <c r="A52" s="273">
        <v>44919</v>
      </c>
      <c r="B52" s="231" t="s">
        <v>739</v>
      </c>
      <c r="C52" s="274" t="s">
        <v>145</v>
      </c>
      <c r="D52" s="285"/>
      <c r="E52" s="218"/>
      <c r="F52" s="219"/>
      <c r="G52" s="286">
        <v>15.9</v>
      </c>
      <c r="H52" s="304"/>
      <c r="I52" s="185"/>
      <c r="J52" s="185"/>
      <c r="K52" s="186"/>
      <c r="L52" s="185"/>
      <c r="M52" s="185"/>
      <c r="N52" s="185"/>
      <c r="O52" s="305"/>
      <c r="P52" s="318"/>
      <c r="Q52" s="191">
        <v>15.9</v>
      </c>
      <c r="R52" s="191"/>
      <c r="S52" s="191"/>
      <c r="T52" s="191"/>
      <c r="U52" s="232"/>
      <c r="V52" s="191"/>
      <c r="W52" s="192"/>
      <c r="X52" s="191"/>
      <c r="Y52" s="191"/>
      <c r="Z52" s="191"/>
      <c r="AA52" s="319"/>
      <c r="AB52" s="168"/>
      <c r="AC52" s="168"/>
      <c r="AD52" s="168"/>
      <c r="AE52" s="168"/>
      <c r="AF52" s="168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</row>
    <row r="53" spans="1:115" s="170" customFormat="1" ht="12" customHeight="1" x14ac:dyDescent="0.25">
      <c r="A53" s="273">
        <v>44919</v>
      </c>
      <c r="B53" s="231" t="s">
        <v>740</v>
      </c>
      <c r="C53" s="274" t="s">
        <v>145</v>
      </c>
      <c r="D53" s="285"/>
      <c r="E53" s="218"/>
      <c r="F53" s="219"/>
      <c r="G53" s="286">
        <v>17.8</v>
      </c>
      <c r="H53" s="304"/>
      <c r="I53" s="185"/>
      <c r="J53" s="185"/>
      <c r="K53" s="186"/>
      <c r="L53" s="185"/>
      <c r="M53" s="185"/>
      <c r="N53" s="185"/>
      <c r="O53" s="305"/>
      <c r="P53" s="318"/>
      <c r="Q53" s="191">
        <v>17.8</v>
      </c>
      <c r="R53" s="191"/>
      <c r="S53" s="191"/>
      <c r="T53" s="191"/>
      <c r="U53" s="232"/>
      <c r="V53" s="191"/>
      <c r="W53" s="192"/>
      <c r="X53" s="191"/>
      <c r="Y53" s="191"/>
      <c r="Z53" s="191"/>
      <c r="AA53" s="319"/>
      <c r="AB53" s="168"/>
      <c r="AC53" s="168"/>
      <c r="AD53" s="168"/>
      <c r="AE53" s="168"/>
      <c r="AF53" s="168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</row>
    <row r="54" spans="1:115" s="170" customFormat="1" ht="12" customHeight="1" x14ac:dyDescent="0.25">
      <c r="A54" s="273">
        <v>44919</v>
      </c>
      <c r="B54" s="231" t="s">
        <v>231</v>
      </c>
      <c r="C54" s="274" t="s">
        <v>145</v>
      </c>
      <c r="D54" s="285">
        <v>74.69</v>
      </c>
      <c r="E54" s="218"/>
      <c r="F54" s="219"/>
      <c r="G54" s="286"/>
      <c r="H54" s="304"/>
      <c r="I54" s="185">
        <v>74.69</v>
      </c>
      <c r="J54" s="185"/>
      <c r="K54" s="186"/>
      <c r="L54" s="185"/>
      <c r="M54" s="185"/>
      <c r="N54" s="185"/>
      <c r="O54" s="305"/>
      <c r="P54" s="318"/>
      <c r="Q54" s="191"/>
      <c r="R54" s="191"/>
      <c r="S54" s="191"/>
      <c r="T54" s="191"/>
      <c r="U54" s="232"/>
      <c r="V54" s="191"/>
      <c r="W54" s="192"/>
      <c r="X54" s="191"/>
      <c r="Y54" s="191"/>
      <c r="Z54" s="191"/>
      <c r="AA54" s="319"/>
      <c r="AB54" s="168"/>
      <c r="AC54" s="168"/>
      <c r="AD54" s="168"/>
      <c r="AE54" s="168"/>
      <c r="AF54" s="168"/>
      <c r="AG54" s="168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</row>
    <row r="55" spans="1:115" s="170" customFormat="1" ht="12" customHeight="1" x14ac:dyDescent="0.25">
      <c r="A55" s="273">
        <v>44919</v>
      </c>
      <c r="B55" s="231" t="s">
        <v>741</v>
      </c>
      <c r="C55" s="274" t="s">
        <v>145</v>
      </c>
      <c r="D55" s="285">
        <v>348.91</v>
      </c>
      <c r="E55" s="218"/>
      <c r="F55" s="219"/>
      <c r="G55" s="286">
        <v>348.91</v>
      </c>
      <c r="H55" s="304"/>
      <c r="I55" s="185"/>
      <c r="J55" s="185"/>
      <c r="K55" s="186"/>
      <c r="L55" s="185"/>
      <c r="M55" s="185"/>
      <c r="N55" s="185"/>
      <c r="O55" s="305"/>
      <c r="P55" s="318"/>
      <c r="Q55" s="191"/>
      <c r="R55" s="191"/>
      <c r="S55" s="191"/>
      <c r="T55" s="191"/>
      <c r="U55" s="232"/>
      <c r="V55" s="191"/>
      <c r="W55" s="192"/>
      <c r="X55" s="191"/>
      <c r="Y55" s="191"/>
      <c r="Z55" s="191"/>
      <c r="AA55" s="319"/>
      <c r="AB55" s="168"/>
      <c r="AC55" s="168"/>
      <c r="AD55" s="168"/>
      <c r="AE55" s="168"/>
      <c r="AF55" s="168"/>
      <c r="AG55" s="168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</row>
    <row r="56" spans="1:115" s="170" customFormat="1" ht="12" customHeight="1" x14ac:dyDescent="0.25">
      <c r="A56" s="273">
        <v>44921</v>
      </c>
      <c r="B56" s="231" t="s">
        <v>512</v>
      </c>
      <c r="C56" s="274" t="s">
        <v>145</v>
      </c>
      <c r="D56" s="285">
        <v>348.52</v>
      </c>
      <c r="E56" s="218"/>
      <c r="F56" s="219"/>
      <c r="G56" s="286"/>
      <c r="H56" s="304"/>
      <c r="I56" s="185">
        <v>348.52</v>
      </c>
      <c r="J56" s="185"/>
      <c r="K56" s="186"/>
      <c r="L56" s="185"/>
      <c r="M56" s="185"/>
      <c r="N56" s="185"/>
      <c r="O56" s="305"/>
      <c r="P56" s="318"/>
      <c r="Q56" s="191"/>
      <c r="R56" s="191"/>
      <c r="S56" s="191"/>
      <c r="T56" s="191"/>
      <c r="U56" s="232"/>
      <c r="V56" s="191"/>
      <c r="W56" s="192"/>
      <c r="X56" s="191"/>
      <c r="Y56" s="191"/>
      <c r="Z56" s="191"/>
      <c r="AA56" s="319"/>
      <c r="AB56" s="168"/>
      <c r="AC56" s="168"/>
      <c r="AD56" s="168"/>
      <c r="AE56" s="168"/>
      <c r="AF56" s="168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</row>
    <row r="57" spans="1:115" s="170" customFormat="1" ht="12" customHeight="1" x14ac:dyDescent="0.25">
      <c r="A57" s="273">
        <v>44921</v>
      </c>
      <c r="B57" s="231" t="s">
        <v>558</v>
      </c>
      <c r="C57" s="274" t="s">
        <v>145</v>
      </c>
      <c r="D57" s="285">
        <v>100</v>
      </c>
      <c r="E57" s="218"/>
      <c r="F57" s="219"/>
      <c r="G57" s="286"/>
      <c r="H57" s="304"/>
      <c r="I57" s="185">
        <v>100</v>
      </c>
      <c r="J57" s="185"/>
      <c r="K57" s="186"/>
      <c r="L57" s="185"/>
      <c r="M57" s="185"/>
      <c r="N57" s="185"/>
      <c r="O57" s="305"/>
      <c r="P57" s="318"/>
      <c r="Q57" s="191"/>
      <c r="R57" s="191"/>
      <c r="S57" s="191"/>
      <c r="T57" s="191"/>
      <c r="U57" s="232"/>
      <c r="V57" s="191"/>
      <c r="W57" s="192"/>
      <c r="X57" s="191"/>
      <c r="Y57" s="191"/>
      <c r="Z57" s="191"/>
      <c r="AA57" s="319"/>
      <c r="AB57" s="168"/>
      <c r="AC57" s="168"/>
      <c r="AD57" s="168"/>
      <c r="AE57" s="168"/>
      <c r="AF57" s="168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</row>
    <row r="58" spans="1:115" s="527" customFormat="1" ht="12" customHeight="1" x14ac:dyDescent="0.25">
      <c r="A58" s="511">
        <v>44922</v>
      </c>
      <c r="B58" s="512" t="s">
        <v>742</v>
      </c>
      <c r="C58" s="513" t="s">
        <v>145</v>
      </c>
      <c r="D58" s="514"/>
      <c r="E58" s="515"/>
      <c r="F58" s="516"/>
      <c r="G58" s="517">
        <v>11.5</v>
      </c>
      <c r="H58" s="518"/>
      <c r="I58" s="519"/>
      <c r="J58" s="519"/>
      <c r="K58" s="520"/>
      <c r="L58" s="519"/>
      <c r="M58" s="519"/>
      <c r="N58" s="519"/>
      <c r="O58" s="521"/>
      <c r="P58" s="522"/>
      <c r="Q58" s="523">
        <v>11.5</v>
      </c>
      <c r="R58" s="523"/>
      <c r="S58" s="523"/>
      <c r="T58" s="523"/>
      <c r="U58" s="524"/>
      <c r="V58" s="523"/>
      <c r="W58" s="525"/>
      <c r="X58" s="523"/>
      <c r="Y58" s="523"/>
      <c r="Z58" s="523"/>
      <c r="AA58" s="526"/>
      <c r="AB58" s="168"/>
      <c r="AC58" s="168"/>
      <c r="AD58" s="168"/>
      <c r="AE58" s="168"/>
      <c r="AF58" s="168"/>
      <c r="AG58" s="168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</row>
    <row r="59" spans="1:115" s="527" customFormat="1" ht="12" customHeight="1" x14ac:dyDescent="0.25">
      <c r="A59" s="511">
        <v>44922</v>
      </c>
      <c r="B59" s="512" t="s">
        <v>743</v>
      </c>
      <c r="C59" s="513" t="s">
        <v>145</v>
      </c>
      <c r="D59" s="514">
        <v>140.80000000000001</v>
      </c>
      <c r="E59" s="515"/>
      <c r="F59" s="516"/>
      <c r="G59" s="517"/>
      <c r="H59" s="518"/>
      <c r="I59" s="519">
        <v>140.80000000000001</v>
      </c>
      <c r="J59" s="519"/>
      <c r="K59" s="520"/>
      <c r="L59" s="519"/>
      <c r="M59" s="519"/>
      <c r="N59" s="519"/>
      <c r="O59" s="521"/>
      <c r="P59" s="522"/>
      <c r="Q59" s="523"/>
      <c r="R59" s="523"/>
      <c r="S59" s="523"/>
      <c r="T59" s="523"/>
      <c r="U59" s="524"/>
      <c r="V59" s="523"/>
      <c r="W59" s="525"/>
      <c r="X59" s="523"/>
      <c r="Y59" s="523"/>
      <c r="Z59" s="523"/>
      <c r="AA59" s="526"/>
      <c r="AB59" s="168"/>
      <c r="AC59" s="168"/>
      <c r="AD59" s="168"/>
      <c r="AE59" s="168"/>
      <c r="AF59" s="168"/>
      <c r="AG59" s="168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</row>
    <row r="60" spans="1:115" s="527" customFormat="1" ht="12" customHeight="1" x14ac:dyDescent="0.25">
      <c r="A60" s="511">
        <v>44923</v>
      </c>
      <c r="B60" s="512" t="s">
        <v>270</v>
      </c>
      <c r="C60" s="513" t="s">
        <v>145</v>
      </c>
      <c r="D60" s="514">
        <v>55</v>
      </c>
      <c r="E60" s="515"/>
      <c r="F60" s="516"/>
      <c r="G60" s="517"/>
      <c r="H60" s="518"/>
      <c r="I60" s="519">
        <v>55</v>
      </c>
      <c r="J60" s="519"/>
      <c r="K60" s="520"/>
      <c r="L60" s="519"/>
      <c r="M60" s="519"/>
      <c r="N60" s="519"/>
      <c r="O60" s="521"/>
      <c r="P60" s="522"/>
      <c r="Q60" s="523"/>
      <c r="R60" s="523"/>
      <c r="S60" s="523"/>
      <c r="T60" s="523"/>
      <c r="U60" s="524"/>
      <c r="V60" s="523"/>
      <c r="W60" s="525"/>
      <c r="X60" s="523"/>
      <c r="Y60" s="523"/>
      <c r="Z60" s="523"/>
      <c r="AA60" s="526"/>
      <c r="AB60" s="168"/>
      <c r="AC60" s="168"/>
      <c r="AD60" s="168"/>
      <c r="AE60" s="168"/>
      <c r="AF60" s="168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</row>
    <row r="61" spans="1:115" s="170" customFormat="1" ht="12" customHeight="1" x14ac:dyDescent="0.25">
      <c r="A61" s="273">
        <v>44924</v>
      </c>
      <c r="B61" s="231" t="s">
        <v>208</v>
      </c>
      <c r="C61" s="274" t="s">
        <v>145</v>
      </c>
      <c r="D61" s="285"/>
      <c r="E61" s="218">
        <v>172.8</v>
      </c>
      <c r="F61" s="219"/>
      <c r="G61" s="286"/>
      <c r="H61" s="304"/>
      <c r="I61" s="185"/>
      <c r="J61" s="185"/>
      <c r="K61" s="186"/>
      <c r="L61" s="185"/>
      <c r="M61" s="185"/>
      <c r="N61" s="185"/>
      <c r="O61" s="305"/>
      <c r="P61" s="318"/>
      <c r="Q61" s="191"/>
      <c r="R61" s="191"/>
      <c r="S61" s="191"/>
      <c r="T61" s="191"/>
      <c r="U61" s="232"/>
      <c r="V61" s="191">
        <v>172.8</v>
      </c>
      <c r="W61" s="192"/>
      <c r="X61" s="191"/>
      <c r="Y61" s="191"/>
      <c r="Z61" s="191"/>
      <c r="AA61" s="319"/>
      <c r="AB61" s="168"/>
      <c r="AC61" s="168"/>
      <c r="AD61" s="168"/>
      <c r="AE61" s="168"/>
      <c r="AF61" s="168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</row>
    <row r="62" spans="1:115" s="170" customFormat="1" ht="12" customHeight="1" x14ac:dyDescent="0.25">
      <c r="A62" s="273">
        <v>44925</v>
      </c>
      <c r="B62" s="231" t="s">
        <v>142</v>
      </c>
      <c r="C62" s="274" t="s">
        <v>145</v>
      </c>
      <c r="D62" s="285">
        <v>19</v>
      </c>
      <c r="E62" s="218"/>
      <c r="F62" s="219"/>
      <c r="G62" s="286"/>
      <c r="H62" s="304"/>
      <c r="I62" s="185">
        <v>19</v>
      </c>
      <c r="J62" s="185"/>
      <c r="K62" s="186"/>
      <c r="L62" s="185"/>
      <c r="M62" s="185"/>
      <c r="N62" s="185"/>
      <c r="O62" s="305"/>
      <c r="P62" s="318"/>
      <c r="Q62" s="191"/>
      <c r="R62" s="191"/>
      <c r="S62" s="191"/>
      <c r="T62" s="191"/>
      <c r="U62" s="232"/>
      <c r="V62" s="191"/>
      <c r="W62" s="192"/>
      <c r="X62" s="191"/>
      <c r="Y62" s="191"/>
      <c r="Z62" s="191"/>
      <c r="AA62" s="319"/>
      <c r="AB62" s="168"/>
      <c r="AC62" s="168"/>
      <c r="AD62" s="168"/>
      <c r="AE62" s="168"/>
      <c r="AF62" s="168"/>
      <c r="AG62" s="168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</row>
    <row r="63" spans="1:115" s="170" customFormat="1" ht="12" customHeight="1" x14ac:dyDescent="0.25">
      <c r="A63" s="273">
        <v>44925</v>
      </c>
      <c r="B63" s="231" t="s">
        <v>215</v>
      </c>
      <c r="C63" s="274" t="s">
        <v>145</v>
      </c>
      <c r="D63" s="285"/>
      <c r="E63" s="218">
        <v>60</v>
      </c>
      <c r="F63" s="219"/>
      <c r="G63" s="286"/>
      <c r="H63" s="304"/>
      <c r="I63" s="185"/>
      <c r="J63" s="185"/>
      <c r="K63" s="186"/>
      <c r="L63" s="185"/>
      <c r="M63" s="185"/>
      <c r="N63" s="185"/>
      <c r="O63" s="305"/>
      <c r="P63" s="318"/>
      <c r="Q63" s="191"/>
      <c r="R63" s="191"/>
      <c r="S63" s="191"/>
      <c r="T63" s="191"/>
      <c r="U63" s="232"/>
      <c r="V63" s="191">
        <v>60</v>
      </c>
      <c r="W63" s="192"/>
      <c r="X63" s="191"/>
      <c r="Y63" s="191"/>
      <c r="Z63" s="191"/>
      <c r="AA63" s="319"/>
      <c r="AB63" s="168"/>
      <c r="AC63" s="168"/>
      <c r="AD63" s="168"/>
      <c r="AE63" s="168"/>
      <c r="AF63" s="168"/>
      <c r="AG63" s="168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</row>
    <row r="64" spans="1:115" s="527" customFormat="1" ht="12" customHeight="1" x14ac:dyDescent="0.25">
      <c r="A64" s="529">
        <v>44925</v>
      </c>
      <c r="B64" s="469" t="s">
        <v>744</v>
      </c>
      <c r="C64" s="276" t="s">
        <v>145</v>
      </c>
      <c r="D64" s="287">
        <v>100</v>
      </c>
      <c r="E64" s="220"/>
      <c r="F64" s="221"/>
      <c r="G64" s="288"/>
      <c r="H64" s="306"/>
      <c r="I64" s="183">
        <v>100</v>
      </c>
      <c r="J64" s="183"/>
      <c r="K64" s="184"/>
      <c r="L64" s="183"/>
      <c r="M64" s="183"/>
      <c r="N64" s="183"/>
      <c r="O64" s="470"/>
      <c r="P64" s="320"/>
      <c r="Q64" s="189"/>
      <c r="R64" s="189"/>
      <c r="S64" s="189"/>
      <c r="T64" s="189"/>
      <c r="U64" s="471"/>
      <c r="V64" s="189"/>
      <c r="W64" s="190"/>
      <c r="X64" s="189"/>
      <c r="Y64" s="189"/>
      <c r="Z64" s="189"/>
      <c r="AA64" s="321"/>
      <c r="AB64" s="168"/>
      <c r="AC64" s="168"/>
      <c r="AD64" s="168"/>
      <c r="AE64" s="168"/>
      <c r="AF64" s="168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</row>
    <row r="65" spans="1:115" s="527" customFormat="1" ht="12" customHeight="1" x14ac:dyDescent="0.25">
      <c r="A65" s="529">
        <v>44926</v>
      </c>
      <c r="B65" s="469" t="s">
        <v>745</v>
      </c>
      <c r="C65" s="276" t="s">
        <v>145</v>
      </c>
      <c r="D65" s="287"/>
      <c r="E65" s="220"/>
      <c r="F65" s="221">
        <v>10</v>
      </c>
      <c r="G65" s="288"/>
      <c r="H65" s="306"/>
      <c r="I65" s="183"/>
      <c r="J65" s="183"/>
      <c r="K65" s="184">
        <v>10</v>
      </c>
      <c r="L65" s="183"/>
      <c r="M65" s="183"/>
      <c r="N65" s="183"/>
      <c r="O65" s="470"/>
      <c r="P65" s="320"/>
      <c r="Q65" s="189"/>
      <c r="R65" s="189"/>
      <c r="S65" s="189"/>
      <c r="T65" s="189"/>
      <c r="U65" s="471"/>
      <c r="V65" s="189"/>
      <c r="W65" s="190"/>
      <c r="X65" s="189"/>
      <c r="Y65" s="189"/>
      <c r="Z65" s="189"/>
      <c r="AA65" s="321"/>
      <c r="AB65" s="168"/>
      <c r="AC65" s="168"/>
      <c r="AD65" s="168"/>
      <c r="AE65" s="168"/>
      <c r="AF65" s="168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</row>
    <row r="66" spans="1:115" s="527" customFormat="1" ht="12" customHeight="1" x14ac:dyDescent="0.25">
      <c r="A66" s="529">
        <v>44926</v>
      </c>
      <c r="B66" s="469" t="s">
        <v>746</v>
      </c>
      <c r="C66" s="276" t="s">
        <v>145</v>
      </c>
      <c r="D66" s="287"/>
      <c r="E66" s="220"/>
      <c r="F66" s="221">
        <v>2</v>
      </c>
      <c r="G66" s="288"/>
      <c r="H66" s="306"/>
      <c r="I66" s="183"/>
      <c r="J66" s="183"/>
      <c r="K66" s="184">
        <v>2</v>
      </c>
      <c r="L66" s="183"/>
      <c r="M66" s="183"/>
      <c r="N66" s="183"/>
      <c r="O66" s="470"/>
      <c r="P66" s="320"/>
      <c r="Q66" s="189"/>
      <c r="R66" s="189"/>
      <c r="S66" s="189"/>
      <c r="T66" s="189"/>
      <c r="U66" s="471"/>
      <c r="V66" s="189"/>
      <c r="W66" s="190"/>
      <c r="X66" s="189"/>
      <c r="Y66" s="189"/>
      <c r="Z66" s="189"/>
      <c r="AA66" s="321"/>
      <c r="AB66" s="168"/>
      <c r="AC66" s="168"/>
      <c r="AD66" s="168"/>
      <c r="AE66" s="168"/>
      <c r="AF66" s="168"/>
      <c r="AG66" s="168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</row>
    <row r="67" spans="1:115" s="527" customFormat="1" ht="12" customHeight="1" x14ac:dyDescent="0.25">
      <c r="A67" s="529">
        <v>44926</v>
      </c>
      <c r="B67" s="469" t="s">
        <v>747</v>
      </c>
      <c r="C67" s="276" t="s">
        <v>145</v>
      </c>
      <c r="D67" s="287"/>
      <c r="E67" s="220"/>
      <c r="F67" s="221">
        <v>15</v>
      </c>
      <c r="G67" s="288"/>
      <c r="H67" s="306"/>
      <c r="I67" s="183"/>
      <c r="J67" s="183"/>
      <c r="K67" s="184">
        <v>15</v>
      </c>
      <c r="L67" s="183"/>
      <c r="M67" s="183"/>
      <c r="N67" s="183"/>
      <c r="O67" s="470"/>
      <c r="P67" s="320"/>
      <c r="Q67" s="189"/>
      <c r="R67" s="189"/>
      <c r="S67" s="189"/>
      <c r="T67" s="189"/>
      <c r="U67" s="471"/>
      <c r="V67" s="189"/>
      <c r="W67" s="190"/>
      <c r="X67" s="189"/>
      <c r="Y67" s="189"/>
      <c r="Z67" s="189"/>
      <c r="AA67" s="321"/>
      <c r="AB67" s="168"/>
      <c r="AC67" s="168"/>
      <c r="AD67" s="168"/>
      <c r="AE67" s="168"/>
      <c r="AF67" s="168"/>
      <c r="AG67" s="168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</row>
    <row r="68" spans="1:115" s="527" customFormat="1" ht="12" customHeight="1" x14ac:dyDescent="0.25">
      <c r="A68" s="529">
        <v>44926</v>
      </c>
      <c r="B68" s="469" t="s">
        <v>748</v>
      </c>
      <c r="C68" s="276" t="s">
        <v>145</v>
      </c>
      <c r="D68" s="287"/>
      <c r="E68" s="220"/>
      <c r="F68" s="221">
        <v>95</v>
      </c>
      <c r="G68" s="288"/>
      <c r="H68" s="306"/>
      <c r="I68" s="183"/>
      <c r="J68" s="183"/>
      <c r="K68" s="184">
        <v>95</v>
      </c>
      <c r="L68" s="183"/>
      <c r="M68" s="183"/>
      <c r="N68" s="183"/>
      <c r="O68" s="470"/>
      <c r="P68" s="320"/>
      <c r="Q68" s="189"/>
      <c r="R68" s="189"/>
      <c r="S68" s="189"/>
      <c r="T68" s="189"/>
      <c r="U68" s="471"/>
      <c r="V68" s="189"/>
      <c r="W68" s="190"/>
      <c r="X68" s="189"/>
      <c r="Y68" s="189"/>
      <c r="Z68" s="189"/>
      <c r="AA68" s="321"/>
      <c r="AB68" s="168"/>
      <c r="AC68" s="168"/>
      <c r="AD68" s="168"/>
      <c r="AE68" s="168"/>
      <c r="AF68" s="168"/>
      <c r="AG68" s="168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</row>
    <row r="69" spans="1:115" s="527" customFormat="1" ht="12" customHeight="1" x14ac:dyDescent="0.25">
      <c r="A69" s="529">
        <v>44926</v>
      </c>
      <c r="B69" s="469" t="s">
        <v>750</v>
      </c>
      <c r="C69" s="276" t="s">
        <v>145</v>
      </c>
      <c r="D69" s="287"/>
      <c r="E69" s="220"/>
      <c r="F69" s="221">
        <v>24.4</v>
      </c>
      <c r="G69" s="288"/>
      <c r="H69" s="306"/>
      <c r="I69" s="183"/>
      <c r="J69" s="183"/>
      <c r="K69" s="184">
        <v>24.4</v>
      </c>
      <c r="L69" s="183"/>
      <c r="M69" s="183"/>
      <c r="N69" s="183"/>
      <c r="O69" s="470"/>
      <c r="P69" s="320"/>
      <c r="Q69" s="189"/>
      <c r="R69" s="189"/>
      <c r="S69" s="189"/>
      <c r="T69" s="189"/>
      <c r="U69" s="471"/>
      <c r="V69" s="189"/>
      <c r="W69" s="190"/>
      <c r="X69" s="189"/>
      <c r="Y69" s="189"/>
      <c r="Z69" s="189"/>
      <c r="AA69" s="321"/>
      <c r="AB69" s="168"/>
      <c r="AC69" s="168"/>
      <c r="AD69" s="168"/>
      <c r="AE69" s="168"/>
      <c r="AF69" s="168"/>
      <c r="AG69" s="168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</row>
    <row r="70" spans="1:115" s="527" customFormat="1" ht="12" customHeight="1" x14ac:dyDescent="0.25">
      <c r="A70" s="529">
        <v>44926</v>
      </c>
      <c r="B70" s="469" t="s">
        <v>751</v>
      </c>
      <c r="C70" s="276" t="s">
        <v>145</v>
      </c>
      <c r="D70" s="287"/>
      <c r="E70" s="220"/>
      <c r="F70" s="221">
        <v>6</v>
      </c>
      <c r="G70" s="288"/>
      <c r="H70" s="306"/>
      <c r="I70" s="183"/>
      <c r="J70" s="183"/>
      <c r="K70" s="184">
        <v>6</v>
      </c>
      <c r="L70" s="183"/>
      <c r="M70" s="183"/>
      <c r="N70" s="183"/>
      <c r="O70" s="470"/>
      <c r="P70" s="320"/>
      <c r="Q70" s="189"/>
      <c r="R70" s="189"/>
      <c r="S70" s="189"/>
      <c r="T70" s="189"/>
      <c r="U70" s="471"/>
      <c r="V70" s="189"/>
      <c r="W70" s="190"/>
      <c r="X70" s="189"/>
      <c r="Y70" s="189"/>
      <c r="Z70" s="189"/>
      <c r="AA70" s="321"/>
      <c r="AB70" s="168"/>
      <c r="AC70" s="168"/>
      <c r="AD70" s="168"/>
      <c r="AE70" s="168"/>
      <c r="AF70" s="168"/>
      <c r="AG70" s="168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</row>
    <row r="71" spans="1:115" s="527" customFormat="1" ht="12" customHeight="1" x14ac:dyDescent="0.25">
      <c r="A71" s="529">
        <v>44926</v>
      </c>
      <c r="B71" s="469" t="s">
        <v>749</v>
      </c>
      <c r="C71" s="276" t="s">
        <v>145</v>
      </c>
      <c r="D71" s="287"/>
      <c r="E71" s="220"/>
      <c r="F71" s="221"/>
      <c r="G71" s="288">
        <v>2.25</v>
      </c>
      <c r="H71" s="306"/>
      <c r="I71" s="183"/>
      <c r="J71" s="183"/>
      <c r="K71" s="184"/>
      <c r="L71" s="183"/>
      <c r="M71" s="183"/>
      <c r="N71" s="183"/>
      <c r="O71" s="470"/>
      <c r="P71" s="320"/>
      <c r="Q71" s="189">
        <v>2.25</v>
      </c>
      <c r="R71" s="189"/>
      <c r="S71" s="189"/>
      <c r="T71" s="189"/>
      <c r="U71" s="471"/>
      <c r="V71" s="189"/>
      <c r="W71" s="190"/>
      <c r="X71" s="189"/>
      <c r="Y71" s="189"/>
      <c r="Z71" s="189"/>
      <c r="AA71" s="321"/>
      <c r="AB71" s="168"/>
      <c r="AC71" s="168"/>
      <c r="AD71" s="168"/>
      <c r="AE71" s="168"/>
      <c r="AF71" s="168"/>
      <c r="AG71" s="168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</row>
    <row r="72" spans="1:115" s="170" customFormat="1" ht="12" customHeight="1" x14ac:dyDescent="0.25">
      <c r="A72" s="275"/>
      <c r="B72" s="230"/>
      <c r="C72" s="276"/>
      <c r="D72" s="287"/>
      <c r="E72" s="220"/>
      <c r="F72" s="221"/>
      <c r="G72" s="288"/>
      <c r="H72" s="306"/>
      <c r="I72" s="183"/>
      <c r="J72" s="183"/>
      <c r="K72" s="184"/>
      <c r="L72" s="183"/>
      <c r="M72" s="183"/>
      <c r="N72" s="183"/>
      <c r="O72" s="307"/>
      <c r="P72" s="320"/>
      <c r="Q72" s="189"/>
      <c r="R72" s="189"/>
      <c r="S72" s="189"/>
      <c r="T72" s="189"/>
      <c r="U72" s="189"/>
      <c r="V72" s="189"/>
      <c r="W72" s="190"/>
      <c r="X72" s="189"/>
      <c r="Y72" s="189"/>
      <c r="Z72" s="189"/>
      <c r="AA72" s="321"/>
      <c r="AB72" s="168"/>
      <c r="AC72" s="168"/>
      <c r="AD72" s="168"/>
      <c r="AE72" s="168"/>
      <c r="AF72" s="168"/>
      <c r="AG72" s="168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</row>
    <row r="73" spans="1:115" s="9" customFormat="1" ht="11" thickBot="1" x14ac:dyDescent="0.3">
      <c r="A73" s="277" t="s">
        <v>25</v>
      </c>
      <c r="B73" s="278"/>
      <c r="C73" s="279"/>
      <c r="D73" s="289">
        <f t="shared" ref="D73:AA73" si="0">SUM(D6:D72)</f>
        <v>3654.96</v>
      </c>
      <c r="E73" s="290">
        <f t="shared" si="0"/>
        <v>2805.42</v>
      </c>
      <c r="F73" s="291">
        <f t="shared" si="0"/>
        <v>551.31000000000006</v>
      </c>
      <c r="G73" s="292">
        <f t="shared" si="0"/>
        <v>843.16000000000008</v>
      </c>
      <c r="H73" s="289">
        <f t="shared" si="0"/>
        <v>32.21</v>
      </c>
      <c r="I73" s="290">
        <f t="shared" si="0"/>
        <v>2159.25</v>
      </c>
      <c r="J73" s="290">
        <f t="shared" si="0"/>
        <v>0</v>
      </c>
      <c r="K73" s="290">
        <f t="shared" si="0"/>
        <v>1219.1000000000001</v>
      </c>
      <c r="L73" s="290">
        <f t="shared" si="0"/>
        <v>0</v>
      </c>
      <c r="M73" s="290">
        <f t="shared" si="0"/>
        <v>0</v>
      </c>
      <c r="N73" s="290">
        <f t="shared" si="0"/>
        <v>0</v>
      </c>
      <c r="O73" s="308">
        <f t="shared" si="0"/>
        <v>0</v>
      </c>
      <c r="P73" s="322">
        <f t="shared" si="0"/>
        <v>238.29</v>
      </c>
      <c r="Q73" s="323">
        <f t="shared" si="0"/>
        <v>47.45</v>
      </c>
      <c r="R73" s="323">
        <f t="shared" si="0"/>
        <v>0</v>
      </c>
      <c r="S73" s="323">
        <f t="shared" si="0"/>
        <v>0</v>
      </c>
      <c r="T73" s="323">
        <f t="shared" si="0"/>
        <v>1984.26</v>
      </c>
      <c r="U73" s="323">
        <f t="shared" si="0"/>
        <v>200</v>
      </c>
      <c r="V73" s="323">
        <f t="shared" si="0"/>
        <v>361.79</v>
      </c>
      <c r="W73" s="323">
        <f t="shared" si="0"/>
        <v>10.44</v>
      </c>
      <c r="X73" s="323">
        <f t="shared" si="0"/>
        <v>0</v>
      </c>
      <c r="Y73" s="323">
        <f t="shared" si="0"/>
        <v>10.64</v>
      </c>
      <c r="Z73" s="323">
        <f t="shared" si="0"/>
        <v>0</v>
      </c>
      <c r="AA73" s="324">
        <f t="shared" si="0"/>
        <v>0</v>
      </c>
      <c r="AB73" s="37"/>
      <c r="AC73" s="37"/>
      <c r="AD73" s="37"/>
      <c r="AE73" s="37"/>
      <c r="AF73" s="37"/>
      <c r="AG73" s="37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s="38" customFormat="1" ht="11.5" thickTop="1" thickBot="1" x14ac:dyDescent="0.3">
      <c r="A74" s="326"/>
      <c r="B74" s="327"/>
      <c r="C74" s="328"/>
      <c r="D74" s="336"/>
      <c r="E74" s="337"/>
      <c r="F74" s="338"/>
      <c r="G74" s="339"/>
      <c r="H74" s="353"/>
      <c r="I74" s="338"/>
      <c r="J74" s="338"/>
      <c r="K74" s="354"/>
      <c r="L74" s="338"/>
      <c r="M74" s="338"/>
      <c r="N74" s="355"/>
      <c r="O74" s="339"/>
      <c r="P74" s="372"/>
      <c r="Q74" s="373"/>
      <c r="R74" s="373"/>
      <c r="S74" s="373"/>
      <c r="T74" s="374"/>
      <c r="U74" s="373"/>
      <c r="V74" s="373"/>
      <c r="W74" s="375"/>
      <c r="X74" s="376"/>
      <c r="Y74" s="376"/>
      <c r="Z74" s="376"/>
      <c r="AA74" s="377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</row>
    <row r="75" spans="1:115" s="6" customFormat="1" ht="53.5" thickTop="1" thickBot="1" x14ac:dyDescent="0.3">
      <c r="A75" s="329" t="s">
        <v>1</v>
      </c>
      <c r="B75" s="12" t="s">
        <v>2</v>
      </c>
      <c r="C75" s="330"/>
      <c r="D75" s="340" t="s">
        <v>3</v>
      </c>
      <c r="E75" s="233"/>
      <c r="F75" s="233" t="s">
        <v>4</v>
      </c>
      <c r="G75" s="341"/>
      <c r="H75" s="356" t="s">
        <v>5</v>
      </c>
      <c r="I75" s="13" t="s">
        <v>6</v>
      </c>
      <c r="J75" s="13" t="s">
        <v>7</v>
      </c>
      <c r="K75" s="14" t="s">
        <v>8</v>
      </c>
      <c r="L75" s="15" t="s">
        <v>9</v>
      </c>
      <c r="M75" s="14" t="s">
        <v>10</v>
      </c>
      <c r="N75" s="14" t="s">
        <v>11</v>
      </c>
      <c r="O75" s="357" t="s">
        <v>12</v>
      </c>
      <c r="P75" s="293" t="s">
        <v>13</v>
      </c>
      <c r="Q75" s="297" t="s">
        <v>98</v>
      </c>
      <c r="R75" s="309" t="s">
        <v>14</v>
      </c>
      <c r="S75" s="310" t="s">
        <v>15</v>
      </c>
      <c r="T75" s="311" t="s">
        <v>16</v>
      </c>
      <c r="U75" s="297" t="s">
        <v>17</v>
      </c>
      <c r="V75" s="297" t="s">
        <v>18</v>
      </c>
      <c r="W75" s="294" t="s">
        <v>63</v>
      </c>
      <c r="X75" s="312" t="s">
        <v>19</v>
      </c>
      <c r="Y75" s="297" t="s">
        <v>65</v>
      </c>
      <c r="Z75" s="297" t="s">
        <v>102</v>
      </c>
      <c r="AA75" s="298" t="s">
        <v>104</v>
      </c>
    </row>
    <row r="76" spans="1:115" s="6" customFormat="1" ht="11" thickBot="1" x14ac:dyDescent="0.3">
      <c r="A76" s="331"/>
      <c r="B76" s="16"/>
      <c r="C76" s="332"/>
      <c r="D76" s="342" t="s">
        <v>22</v>
      </c>
      <c r="E76" s="39" t="s">
        <v>23</v>
      </c>
      <c r="F76" s="16" t="s">
        <v>22</v>
      </c>
      <c r="G76" s="343" t="s">
        <v>23</v>
      </c>
      <c r="H76" s="331" t="s">
        <v>22</v>
      </c>
      <c r="I76" s="16" t="s">
        <v>22</v>
      </c>
      <c r="J76" s="16" t="s">
        <v>22</v>
      </c>
      <c r="K76" s="17" t="s">
        <v>22</v>
      </c>
      <c r="L76" s="18" t="s">
        <v>22</v>
      </c>
      <c r="M76" s="19" t="s">
        <v>22</v>
      </c>
      <c r="N76" s="20"/>
      <c r="O76" s="358" t="s">
        <v>22</v>
      </c>
      <c r="P76" s="331" t="s">
        <v>23</v>
      </c>
      <c r="Q76" s="16" t="s">
        <v>23</v>
      </c>
      <c r="R76" s="18" t="s">
        <v>23</v>
      </c>
      <c r="S76" s="18" t="s">
        <v>23</v>
      </c>
      <c r="T76" s="16" t="s">
        <v>23</v>
      </c>
      <c r="U76" s="16" t="s">
        <v>23</v>
      </c>
      <c r="V76" s="16" t="s">
        <v>23</v>
      </c>
      <c r="W76" s="19" t="s">
        <v>23</v>
      </c>
      <c r="X76" s="16" t="s">
        <v>23</v>
      </c>
      <c r="Y76" s="16" t="s">
        <v>23</v>
      </c>
      <c r="Z76" s="16" t="s">
        <v>23</v>
      </c>
      <c r="AA76" s="378" t="s">
        <v>23</v>
      </c>
    </row>
    <row r="77" spans="1:115" s="21" customFormat="1" ht="11" thickBot="1" x14ac:dyDescent="0.3">
      <c r="A77" s="333"/>
      <c r="B77" s="334"/>
      <c r="C77" s="335"/>
      <c r="D77" s="344">
        <f t="shared" ref="D77:AA77" si="1">SUM(D5:D72)</f>
        <v>13631.180000000004</v>
      </c>
      <c r="E77" s="345">
        <f t="shared" si="1"/>
        <v>2805.42</v>
      </c>
      <c r="F77" s="345">
        <f t="shared" si="1"/>
        <v>1058.8100000000002</v>
      </c>
      <c r="G77" s="346">
        <f t="shared" si="1"/>
        <v>843.16000000000008</v>
      </c>
      <c r="H77" s="359">
        <f t="shared" si="1"/>
        <v>32.21</v>
      </c>
      <c r="I77" s="360">
        <f t="shared" si="1"/>
        <v>2159.25</v>
      </c>
      <c r="J77" s="360">
        <f t="shared" si="1"/>
        <v>0</v>
      </c>
      <c r="K77" s="360">
        <f t="shared" si="1"/>
        <v>1219.1000000000001</v>
      </c>
      <c r="L77" s="360">
        <f t="shared" si="1"/>
        <v>0</v>
      </c>
      <c r="M77" s="360">
        <f t="shared" si="1"/>
        <v>0</v>
      </c>
      <c r="N77" s="360">
        <f t="shared" si="1"/>
        <v>0</v>
      </c>
      <c r="O77" s="361">
        <f t="shared" si="1"/>
        <v>10483.720000000005</v>
      </c>
      <c r="P77" s="359">
        <f t="shared" si="1"/>
        <v>238.29</v>
      </c>
      <c r="Q77" s="360">
        <f t="shared" si="1"/>
        <v>47.45</v>
      </c>
      <c r="R77" s="360">
        <f t="shared" si="1"/>
        <v>0</v>
      </c>
      <c r="S77" s="360">
        <f t="shared" si="1"/>
        <v>0</v>
      </c>
      <c r="T77" s="360">
        <f t="shared" si="1"/>
        <v>1984.26</v>
      </c>
      <c r="U77" s="360">
        <f t="shared" si="1"/>
        <v>200</v>
      </c>
      <c r="V77" s="360">
        <f t="shared" si="1"/>
        <v>361.79</v>
      </c>
      <c r="W77" s="360">
        <f t="shared" si="1"/>
        <v>10.44</v>
      </c>
      <c r="X77" s="360">
        <f t="shared" si="1"/>
        <v>0</v>
      </c>
      <c r="Y77" s="360">
        <f t="shared" si="1"/>
        <v>10.64</v>
      </c>
      <c r="Z77" s="360">
        <f t="shared" si="1"/>
        <v>0</v>
      </c>
      <c r="AA77" s="361">
        <f t="shared" si="1"/>
        <v>0</v>
      </c>
    </row>
    <row r="78" spans="1:115" s="6" customFormat="1" ht="11.5" thickTop="1" thickBot="1" x14ac:dyDescent="0.3">
      <c r="A78" s="347"/>
      <c r="B78" s="348" t="s">
        <v>26</v>
      </c>
      <c r="C78" s="349"/>
      <c r="D78" s="350">
        <f>SUM(D77-E77)</f>
        <v>10825.760000000004</v>
      </c>
      <c r="E78" s="351"/>
      <c r="F78" s="350">
        <f>SUM(F77-G77)</f>
        <v>215.65000000000009</v>
      </c>
      <c r="G78" s="352"/>
      <c r="H78" s="363"/>
      <c r="I78" s="379"/>
      <c r="J78" s="379" t="s">
        <v>20</v>
      </c>
      <c r="K78" s="365"/>
      <c r="L78" s="364"/>
      <c r="M78" s="364" t="s">
        <v>20</v>
      </c>
      <c r="N78" s="366"/>
      <c r="O78" s="367" t="s">
        <v>20</v>
      </c>
      <c r="P78" s="363"/>
      <c r="Q78" s="364"/>
      <c r="R78" s="364" t="s">
        <v>20</v>
      </c>
      <c r="S78" s="364" t="s">
        <v>20</v>
      </c>
      <c r="T78" s="364" t="s">
        <v>20</v>
      </c>
      <c r="U78" s="371"/>
      <c r="V78" s="364" t="s">
        <v>20</v>
      </c>
      <c r="W78" s="371"/>
      <c r="X78" s="364" t="s">
        <v>20</v>
      </c>
      <c r="Y78" s="364" t="s">
        <v>20</v>
      </c>
      <c r="Z78" s="364" t="s">
        <v>20</v>
      </c>
      <c r="AA78" s="352" t="s">
        <v>20</v>
      </c>
    </row>
    <row r="79" spans="1:115" s="6" customFormat="1" ht="13.5" thickTop="1" thickBot="1" x14ac:dyDescent="0.3">
      <c r="A79" s="2"/>
      <c r="B79" s="2"/>
      <c r="C79" s="55"/>
      <c r="D79" s="35"/>
      <c r="E79" s="34"/>
      <c r="F79" s="4"/>
      <c r="I79" s="546" t="s">
        <v>27</v>
      </c>
      <c r="J79" s="547"/>
      <c r="K79" s="362">
        <f>SUM(H77:O77)</f>
        <v>13894.280000000006</v>
      </c>
      <c r="O79" s="22"/>
      <c r="P79" s="4"/>
      <c r="Q79" s="6" t="s">
        <v>28</v>
      </c>
      <c r="R79" s="368" t="s">
        <v>20</v>
      </c>
      <c r="S79" s="369">
        <f>SUM(P77:AA77)</f>
        <v>2852.87</v>
      </c>
      <c r="T79" s="370"/>
    </row>
    <row r="80" spans="1:115" s="6" customFormat="1" ht="11" thickBot="1" x14ac:dyDescent="0.3">
      <c r="A80" s="2"/>
      <c r="B80" s="23" t="s">
        <v>29</v>
      </c>
      <c r="C80" s="23"/>
      <c r="D80" s="40" t="s">
        <v>20</v>
      </c>
      <c r="E80" s="193">
        <f>SUM(D77-E77+F77-G77)</f>
        <v>11041.410000000003</v>
      </c>
      <c r="F80" s="25" t="s">
        <v>49</v>
      </c>
      <c r="H80" s="26"/>
      <c r="I80" s="46"/>
      <c r="J80" s="46"/>
      <c r="K80" s="27"/>
      <c r="M80" s="7"/>
      <c r="N80" s="46"/>
      <c r="O80" s="24">
        <f>E77</f>
        <v>2805.42</v>
      </c>
      <c r="P80" s="540">
        <f>SUM(K79-S79)</f>
        <v>11041.410000000007</v>
      </c>
      <c r="Q80" s="540"/>
      <c r="R80" s="541" t="s">
        <v>30</v>
      </c>
      <c r="S80" s="541"/>
      <c r="T80" s="541"/>
    </row>
    <row r="81" spans="1:27" s="6" customFormat="1" ht="10.5" x14ac:dyDescent="0.25">
      <c r="A81" s="1"/>
      <c r="B81" s="2"/>
      <c r="C81" s="55"/>
      <c r="D81" s="28"/>
      <c r="E81" s="34"/>
      <c r="F81" s="4"/>
      <c r="G81" s="3"/>
      <c r="H81" s="3"/>
      <c r="I81" s="3"/>
      <c r="J81" s="3"/>
      <c r="K81" s="5"/>
      <c r="L81" s="3"/>
      <c r="M81" s="3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6" customFormat="1" x14ac:dyDescent="0.25">
      <c r="A82" s="1"/>
      <c r="B82" s="2"/>
      <c r="C82" s="2"/>
      <c r="D82" s="542" t="s">
        <v>52</v>
      </c>
      <c r="E82" s="543"/>
      <c r="F82" s="194">
        <f>56.4-11.5</f>
        <v>44.9</v>
      </c>
      <c r="G82" s="197">
        <f>(9518.26+1507.5)-(200)</f>
        <v>10825.76</v>
      </c>
      <c r="H82" s="52" t="s">
        <v>54</v>
      </c>
      <c r="I82" s="57"/>
      <c r="J82" s="3"/>
      <c r="K82" s="5"/>
      <c r="L82" s="3"/>
      <c r="M82" s="3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6" customFormat="1" x14ac:dyDescent="0.25">
      <c r="A83" s="1"/>
      <c r="B83" s="2"/>
      <c r="C83" s="2"/>
      <c r="D83" s="544" t="s">
        <v>34</v>
      </c>
      <c r="E83" s="545"/>
      <c r="F83" s="195">
        <v>20.6</v>
      </c>
      <c r="G83" s="197">
        <f>D78</f>
        <v>10825.760000000004</v>
      </c>
      <c r="H83" s="52" t="s">
        <v>60</v>
      </c>
      <c r="I83" s="57"/>
      <c r="J83" s="3"/>
      <c r="K83" s="5"/>
      <c r="L83" s="3"/>
      <c r="M83" s="3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6" customFormat="1" x14ac:dyDescent="0.25">
      <c r="A84" s="1"/>
      <c r="B84" s="2"/>
      <c r="C84" s="2"/>
      <c r="D84" s="544" t="s">
        <v>85</v>
      </c>
      <c r="E84" s="545"/>
      <c r="F84" s="194">
        <f>150.15</f>
        <v>150.15</v>
      </c>
      <c r="G84" s="198">
        <f>G82-G83</f>
        <v>0</v>
      </c>
      <c r="H84" s="53" t="s">
        <v>50</v>
      </c>
      <c r="I84" s="3"/>
      <c r="J84" s="3"/>
      <c r="K84" s="5"/>
      <c r="L84" s="3"/>
      <c r="M84" s="3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6" customFormat="1" x14ac:dyDescent="0.25">
      <c r="A85" s="1"/>
      <c r="B85" s="2"/>
      <c r="C85" s="2"/>
      <c r="D85" s="533" t="s">
        <v>50</v>
      </c>
      <c r="E85" s="534"/>
      <c r="F85" s="196">
        <f>F82+F83+F84-F78</f>
        <v>0</v>
      </c>
      <c r="G85" s="84"/>
      <c r="H85" s="85"/>
      <c r="I85" s="3"/>
      <c r="J85" s="3"/>
      <c r="K85" s="5"/>
      <c r="L85" s="3"/>
      <c r="M85" s="3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</sheetData>
  <sheetProtection selectLockedCells="1" selectUnlockedCells="1"/>
  <mergeCells count="10">
    <mergeCell ref="R80:T80"/>
    <mergeCell ref="D82:E82"/>
    <mergeCell ref="D83:E83"/>
    <mergeCell ref="D84:E84"/>
    <mergeCell ref="I79:J79"/>
    <mergeCell ref="A1:B1"/>
    <mergeCell ref="D3:E3"/>
    <mergeCell ref="F3:G3"/>
    <mergeCell ref="D85:E85"/>
    <mergeCell ref="P80:Q80"/>
  </mergeCells>
  <printOptions horizontalCentered="1"/>
  <pageMargins left="0.39374999999999999" right="0.39374999999999999" top="0.59027777777777768" bottom="0.19652777777777777" header="0.51180555555555551" footer="0.51180555555555551"/>
  <pageSetup paperSize="9" scale="10" firstPageNumber="0" orientation="portrait" horizontalDpi="300" verticalDpi="300" r:id="rId1"/>
  <headerFooter alignWithMargins="0">
    <oddHeader>&amp;CINTERGROUPE PARIS-BANLIEUE - IGPB
Trésorerie 2017&amp;R&amp;UDECEMBRE 2017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Q65"/>
  <sheetViews>
    <sheetView showGridLines="0" topLeftCell="F33" zoomScale="75" zoomScaleNormal="75" workbookViewId="0">
      <selection activeCell="N55" sqref="N55"/>
    </sheetView>
  </sheetViews>
  <sheetFormatPr baseColWidth="10" defaultRowHeight="14" x14ac:dyDescent="0.3"/>
  <cols>
    <col min="1" max="1" width="2.1796875" customWidth="1"/>
    <col min="2" max="2" width="77.08984375" customWidth="1"/>
    <col min="3" max="15" width="23.81640625" customWidth="1"/>
    <col min="16" max="16" width="11" bestFit="1" customWidth="1"/>
    <col min="17" max="17" width="17.1796875" style="167" bestFit="1" customWidth="1"/>
    <col min="18" max="30" width="10.90625" customWidth="1"/>
  </cols>
  <sheetData>
    <row r="2" spans="2:17" ht="25" x14ac:dyDescent="0.5">
      <c r="B2" s="110" t="s">
        <v>704</v>
      </c>
    </row>
    <row r="3" spans="2:17" ht="18" x14ac:dyDescent="0.4">
      <c r="B3" s="77" t="s">
        <v>129</v>
      </c>
    </row>
    <row r="4" spans="2:17" ht="14.5" thickBot="1" x14ac:dyDescent="0.35"/>
    <row r="5" spans="2:17" ht="44.25" customHeight="1" thickBot="1" x14ac:dyDescent="0.35">
      <c r="B5" s="118" t="s">
        <v>128</v>
      </c>
      <c r="C5" s="109">
        <v>44562</v>
      </c>
      <c r="D5" s="109">
        <v>44593</v>
      </c>
      <c r="E5" s="109">
        <v>44621</v>
      </c>
      <c r="F5" s="109">
        <v>44652</v>
      </c>
      <c r="G5" s="109">
        <v>44682</v>
      </c>
      <c r="H5" s="109">
        <v>44713</v>
      </c>
      <c r="I5" s="109">
        <v>44743</v>
      </c>
      <c r="J5" s="109">
        <v>44774</v>
      </c>
      <c r="K5" s="109">
        <v>44805</v>
      </c>
      <c r="L5" s="109">
        <v>44835</v>
      </c>
      <c r="M5" s="109">
        <v>44866</v>
      </c>
      <c r="N5" s="109">
        <v>44896</v>
      </c>
      <c r="O5" s="108" t="s">
        <v>137</v>
      </c>
    </row>
    <row r="6" spans="2:17" s="43" customFormat="1" ht="20" x14ac:dyDescent="0.4">
      <c r="B6" s="235" t="s">
        <v>35</v>
      </c>
      <c r="C6" s="236">
        <f>' 01 2022'!D5+' 01 2022'!F5</f>
        <v>8854.2500000000018</v>
      </c>
      <c r="D6" s="237">
        <f t="shared" ref="D6:N6" si="0">C32</f>
        <v>8330.7500000000036</v>
      </c>
      <c r="E6" s="237">
        <f t="shared" si="0"/>
        <v>7886.6400000000049</v>
      </c>
      <c r="F6" s="237">
        <f t="shared" si="0"/>
        <v>11100.740000000005</v>
      </c>
      <c r="G6" s="237">
        <f t="shared" si="0"/>
        <v>10632.940000000006</v>
      </c>
      <c r="H6" s="237">
        <f t="shared" si="0"/>
        <v>13965.970000000007</v>
      </c>
      <c r="I6" s="237">
        <f t="shared" si="0"/>
        <v>12285.270000000008</v>
      </c>
      <c r="J6" s="237">
        <f t="shared" si="0"/>
        <v>11587.260000000006</v>
      </c>
      <c r="K6" s="237">
        <f t="shared" si="0"/>
        <v>13901.400000000005</v>
      </c>
      <c r="L6" s="237">
        <f t="shared" si="0"/>
        <v>11957.180000000006</v>
      </c>
      <c r="M6" s="237">
        <f t="shared" si="0"/>
        <v>12281.340000000007</v>
      </c>
      <c r="N6" s="237">
        <f t="shared" si="0"/>
        <v>10483.720000000007</v>
      </c>
      <c r="O6" s="468">
        <f>C6</f>
        <v>8854.2500000000018</v>
      </c>
      <c r="Q6" s="167"/>
    </row>
    <row r="7" spans="2:17" ht="17.5" x14ac:dyDescent="0.35">
      <c r="B7" s="238"/>
      <c r="C7" s="239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  <c r="O7" s="242"/>
    </row>
    <row r="8" spans="2:17" s="43" customFormat="1" ht="23" x14ac:dyDescent="0.5">
      <c r="B8" s="243" t="s">
        <v>22</v>
      </c>
      <c r="C8" s="262">
        <f t="shared" ref="C8:N8" si="1">SUM(C9:C15)</f>
        <v>2262.37</v>
      </c>
      <c r="D8" s="262">
        <f t="shared" si="1"/>
        <v>3139.2200000000003</v>
      </c>
      <c r="E8" s="262">
        <f>SUM(E9:E15)</f>
        <v>4948.34</v>
      </c>
      <c r="F8" s="262">
        <f t="shared" si="1"/>
        <v>2711.69</v>
      </c>
      <c r="G8" s="262">
        <f t="shared" si="1"/>
        <v>3856.34</v>
      </c>
      <c r="H8" s="262">
        <f t="shared" si="1"/>
        <v>3280.7799999999997</v>
      </c>
      <c r="I8" s="262">
        <f t="shared" si="1"/>
        <v>3204.1899999999996</v>
      </c>
      <c r="J8" s="262">
        <f t="shared" si="1"/>
        <v>2742.6499999999996</v>
      </c>
      <c r="K8" s="262">
        <f t="shared" si="1"/>
        <v>3800.27</v>
      </c>
      <c r="L8" s="262">
        <f t="shared" si="1"/>
        <v>2705.96</v>
      </c>
      <c r="M8" s="262">
        <f t="shared" si="1"/>
        <v>3172.1499999999996</v>
      </c>
      <c r="N8" s="262">
        <f t="shared" si="1"/>
        <v>3410.5600000000004</v>
      </c>
      <c r="O8" s="262">
        <f t="shared" ref="O8:O15" si="2">SUM(C8:N8)</f>
        <v>39234.51999999999</v>
      </c>
      <c r="Q8" s="167"/>
    </row>
    <row r="9" spans="2:17" s="42" customFormat="1" ht="20.5" x14ac:dyDescent="0.45">
      <c r="B9" s="245" t="s">
        <v>36</v>
      </c>
      <c r="C9" s="244">
        <f>' 01 2022'!H73</f>
        <v>0</v>
      </c>
      <c r="D9" s="244">
        <f>' 02 2022'!H82</f>
        <v>32.4</v>
      </c>
      <c r="E9" s="244">
        <f>' 03 2022'!H76</f>
        <v>39.299999999999997</v>
      </c>
      <c r="F9" s="244">
        <f>' 04 2022'!H71</f>
        <v>23.05</v>
      </c>
      <c r="G9" s="244">
        <f>' 05 2022'!H69</f>
        <v>27.3</v>
      </c>
      <c r="H9" s="244">
        <f>'06 2022'!H54</f>
        <v>22.8</v>
      </c>
      <c r="I9" s="244">
        <f>'07 2022'!H79</f>
        <v>22</v>
      </c>
      <c r="J9" s="244">
        <f>'08 2022'!H51</f>
        <v>0</v>
      </c>
      <c r="K9" s="244">
        <f>'09 2022'!H79</f>
        <v>28.8</v>
      </c>
      <c r="L9" s="244">
        <f>'10 2022'!H66</f>
        <v>21.45</v>
      </c>
      <c r="M9" s="244">
        <f>'11 2022'!H66</f>
        <v>48.95</v>
      </c>
      <c r="N9" s="244">
        <f>'12 2022'!H73</f>
        <v>32.21</v>
      </c>
      <c r="O9" s="244">
        <f t="shared" si="2"/>
        <v>298.26</v>
      </c>
      <c r="Q9" s="167"/>
    </row>
    <row r="10" spans="2:17" s="42" customFormat="1" ht="20.5" x14ac:dyDescent="0.45">
      <c r="B10" s="245" t="s">
        <v>37</v>
      </c>
      <c r="C10" s="244">
        <f>' 01 2022'!I73</f>
        <v>758.92000000000007</v>
      </c>
      <c r="D10" s="244">
        <f>' 02 2022'!I82</f>
        <v>1009.32</v>
      </c>
      <c r="E10" s="244">
        <f>' 03 2022'!I76</f>
        <v>3619.1400000000003</v>
      </c>
      <c r="F10" s="244">
        <f>' 04 2022'!I71</f>
        <v>1670.54</v>
      </c>
      <c r="G10" s="244">
        <f>' 05 2022'!I69</f>
        <v>2150.64</v>
      </c>
      <c r="H10" s="244">
        <f>'06 2022'!I54</f>
        <v>1365.23</v>
      </c>
      <c r="I10" s="244">
        <f>'07 2022'!I79</f>
        <v>1696.09</v>
      </c>
      <c r="J10" s="244">
        <f>'08 2022'!I51</f>
        <v>1609.6499999999999</v>
      </c>
      <c r="K10" s="244">
        <f>'09 2022'!I79</f>
        <v>1651.57</v>
      </c>
      <c r="L10" s="244">
        <f>'10 2022'!I66</f>
        <v>1803.41</v>
      </c>
      <c r="M10" s="244">
        <f>'11 2022'!I66</f>
        <v>1786.8999999999999</v>
      </c>
      <c r="N10" s="244">
        <f>'12 2022'!I73</f>
        <v>2159.25</v>
      </c>
      <c r="O10" s="244">
        <f t="shared" si="2"/>
        <v>21280.660000000003</v>
      </c>
      <c r="P10" s="104"/>
      <c r="Q10" s="167"/>
    </row>
    <row r="11" spans="2:17" s="42" customFormat="1" ht="20.5" x14ac:dyDescent="0.45">
      <c r="B11" s="245" t="s">
        <v>38</v>
      </c>
      <c r="C11" s="244">
        <f>' 01 2022'!J73</f>
        <v>0</v>
      </c>
      <c r="D11" s="244">
        <f>' 02 2022'!J82</f>
        <v>0</v>
      </c>
      <c r="E11" s="244">
        <f>' 03 2022'!J76</f>
        <v>0</v>
      </c>
      <c r="F11" s="244">
        <f>' 04 2022'!J71</f>
        <v>0</v>
      </c>
      <c r="G11" s="244">
        <f>' 05 2022'!J69</f>
        <v>0</v>
      </c>
      <c r="H11" s="244">
        <f>'06 2022'!J54</f>
        <v>0</v>
      </c>
      <c r="I11" s="244">
        <f>'07 2022'!J79</f>
        <v>0</v>
      </c>
      <c r="J11" s="244">
        <f>'08 2022'!J51</f>
        <v>0</v>
      </c>
      <c r="K11" s="244">
        <f>'09 2022'!J79</f>
        <v>0</v>
      </c>
      <c r="L11" s="244">
        <f>'10 2022'!J66</f>
        <v>0</v>
      </c>
      <c r="M11" s="244">
        <f>'11 2022'!J66</f>
        <v>0</v>
      </c>
      <c r="N11" s="244">
        <f>'12 2022'!J73</f>
        <v>0</v>
      </c>
      <c r="O11" s="244">
        <f t="shared" si="2"/>
        <v>0</v>
      </c>
      <c r="Q11" s="167"/>
    </row>
    <row r="12" spans="2:17" s="42" customFormat="1" ht="20.5" x14ac:dyDescent="0.45">
      <c r="B12" s="245" t="s">
        <v>45</v>
      </c>
      <c r="C12" s="244">
        <f>' 01 2022'!K73</f>
        <v>1463.5</v>
      </c>
      <c r="D12" s="244">
        <f>' 02 2022'!K82</f>
        <v>2097.5</v>
      </c>
      <c r="E12" s="244">
        <f>' 03 2022'!K76</f>
        <v>1289.9000000000001</v>
      </c>
      <c r="F12" s="244">
        <f>' 04 2022'!K71</f>
        <v>1018.1</v>
      </c>
      <c r="G12" s="244">
        <f>' 05 2022'!K69</f>
        <v>1678.4</v>
      </c>
      <c r="H12" s="244">
        <f>'06 2022'!K54</f>
        <v>1892.75</v>
      </c>
      <c r="I12" s="244">
        <f>'07 2022'!K79</f>
        <v>1486.1</v>
      </c>
      <c r="J12" s="244">
        <f>'08 2022'!K51</f>
        <v>1133</v>
      </c>
      <c r="K12" s="244">
        <f>'09 2022'!K79</f>
        <v>2119.9</v>
      </c>
      <c r="L12" s="244">
        <f>'10 2022'!K66</f>
        <v>881.1</v>
      </c>
      <c r="M12" s="244">
        <f>'11 2022'!K66</f>
        <v>1336.3</v>
      </c>
      <c r="N12" s="244">
        <f>'12 2022'!K73</f>
        <v>1219.1000000000001</v>
      </c>
      <c r="O12" s="244">
        <f t="shared" si="2"/>
        <v>17615.649999999998</v>
      </c>
      <c r="Q12" s="167"/>
    </row>
    <row r="13" spans="2:17" s="42" customFormat="1" ht="20.5" x14ac:dyDescent="0.45">
      <c r="B13" s="245" t="s">
        <v>97</v>
      </c>
      <c r="C13" s="244">
        <f>' 01 2022'!L73</f>
        <v>0</v>
      </c>
      <c r="D13" s="244">
        <f>' 02 2022'!L82</f>
        <v>0</v>
      </c>
      <c r="E13" s="244">
        <f>' 03 2022'!L76</f>
        <v>0</v>
      </c>
      <c r="F13" s="244">
        <f>' 04 2022'!L71</f>
        <v>0</v>
      </c>
      <c r="G13" s="244">
        <f>' 05 2022'!L69</f>
        <v>0</v>
      </c>
      <c r="H13" s="244">
        <f>'06 2022'!L54</f>
        <v>0</v>
      </c>
      <c r="I13" s="244">
        <f>'07 2022'!L79</f>
        <v>0</v>
      </c>
      <c r="J13" s="244">
        <f>'08 2022'!L51</f>
        <v>0</v>
      </c>
      <c r="K13" s="244">
        <f>'09 2022'!L79</f>
        <v>0</v>
      </c>
      <c r="L13" s="244">
        <f>'10 2022'!L66</f>
        <v>0</v>
      </c>
      <c r="M13" s="244">
        <f>'11 2022'!L66</f>
        <v>0</v>
      </c>
      <c r="N13" s="244">
        <f>'12 2022'!L73</f>
        <v>0</v>
      </c>
      <c r="O13" s="244">
        <f t="shared" si="2"/>
        <v>0</v>
      </c>
      <c r="Q13" s="167"/>
    </row>
    <row r="14" spans="2:17" s="42" customFormat="1" ht="20.5" x14ac:dyDescent="0.45">
      <c r="B14" s="245" t="s">
        <v>39</v>
      </c>
      <c r="C14" s="244">
        <f>' 01 2022'!M73</f>
        <v>39.950000000000003</v>
      </c>
      <c r="D14" s="244">
        <f>' 02 2022'!M82</f>
        <v>0</v>
      </c>
      <c r="E14" s="244">
        <f>' 03 2022'!M76</f>
        <v>0</v>
      </c>
      <c r="F14" s="244">
        <f>' 04 2022'!M71</f>
        <v>0</v>
      </c>
      <c r="G14" s="244">
        <f>' 05 2022'!M69</f>
        <v>0</v>
      </c>
      <c r="H14" s="244">
        <f>'06 2022'!M54</f>
        <v>0</v>
      </c>
      <c r="I14" s="244">
        <f>'07 2022'!M79</f>
        <v>0</v>
      </c>
      <c r="J14" s="244">
        <f>'08 2022'!M51</f>
        <v>0</v>
      </c>
      <c r="K14" s="244">
        <f>'09 2022'!M79</f>
        <v>0</v>
      </c>
      <c r="L14" s="244">
        <f>'10 2022'!M66</f>
        <v>0</v>
      </c>
      <c r="M14" s="244">
        <f>'11 2022'!M66</f>
        <v>0</v>
      </c>
      <c r="N14" s="244">
        <f>'12 2022'!M73</f>
        <v>0</v>
      </c>
      <c r="O14" s="244">
        <f t="shared" si="2"/>
        <v>39.950000000000003</v>
      </c>
      <c r="Q14" s="167"/>
    </row>
    <row r="15" spans="2:17" s="42" customFormat="1" ht="20.5" x14ac:dyDescent="0.45">
      <c r="B15" s="245" t="s">
        <v>101</v>
      </c>
      <c r="C15" s="244">
        <f>' 01 2022'!N73</f>
        <v>0</v>
      </c>
      <c r="D15" s="244">
        <f>' 02 2022'!N82</f>
        <v>0</v>
      </c>
      <c r="E15" s="244">
        <f>' 03 2022'!N76</f>
        <v>0</v>
      </c>
      <c r="F15" s="244">
        <f>' 04 2022'!N71</f>
        <v>0</v>
      </c>
      <c r="G15" s="244">
        <f>' 05 2022'!N69</f>
        <v>0</v>
      </c>
      <c r="H15" s="244">
        <f>'06 2022'!N54</f>
        <v>0</v>
      </c>
      <c r="I15" s="244">
        <f>'07 2022'!N79</f>
        <v>0</v>
      </c>
      <c r="J15" s="244">
        <f>'08 2022'!N51</f>
        <v>0</v>
      </c>
      <c r="K15" s="244">
        <f>'09 2022'!N79</f>
        <v>0</v>
      </c>
      <c r="L15" s="244">
        <f>'10 2022'!N66</f>
        <v>0</v>
      </c>
      <c r="M15" s="244">
        <f>'11 2022'!N66</f>
        <v>0</v>
      </c>
      <c r="N15" s="244">
        <f>'12 2022'!N73</f>
        <v>0</v>
      </c>
      <c r="O15" s="244">
        <f t="shared" si="2"/>
        <v>0</v>
      </c>
      <c r="Q15" s="167"/>
    </row>
    <row r="16" spans="2:17" ht="20" x14ac:dyDescent="0.4">
      <c r="B16" s="246"/>
      <c r="C16" s="247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9"/>
    </row>
    <row r="17" spans="2:17" s="43" customFormat="1" ht="23" x14ac:dyDescent="0.5">
      <c r="B17" s="250" t="s">
        <v>23</v>
      </c>
      <c r="C17" s="251">
        <f t="shared" ref="C17:N17" si="3">SUM(C18:C30)</f>
        <v>2785.87</v>
      </c>
      <c r="D17" s="251">
        <f t="shared" si="3"/>
        <v>3583.33</v>
      </c>
      <c r="E17" s="251">
        <f t="shared" si="3"/>
        <v>1734.2400000000002</v>
      </c>
      <c r="F17" s="251">
        <f t="shared" si="3"/>
        <v>3179.49</v>
      </c>
      <c r="G17" s="251">
        <f t="shared" si="3"/>
        <v>523.31000000000006</v>
      </c>
      <c r="H17" s="251">
        <f t="shared" si="3"/>
        <v>4961.4800000000005</v>
      </c>
      <c r="I17" s="251">
        <f t="shared" si="3"/>
        <v>3902.2</v>
      </c>
      <c r="J17" s="251">
        <f t="shared" si="3"/>
        <v>428.51000000000005</v>
      </c>
      <c r="K17" s="251">
        <f t="shared" si="3"/>
        <v>5744.49</v>
      </c>
      <c r="L17" s="251">
        <f t="shared" si="3"/>
        <v>2381.8000000000002</v>
      </c>
      <c r="M17" s="251">
        <f t="shared" si="3"/>
        <v>4969.7700000000004</v>
      </c>
      <c r="N17" s="251">
        <f t="shared" si="3"/>
        <v>2852.87</v>
      </c>
      <c r="O17" s="251">
        <f>SUM(C17:N17)</f>
        <v>37047.360000000001</v>
      </c>
      <c r="Q17" s="167"/>
    </row>
    <row r="18" spans="2:17" s="42" customFormat="1" ht="20.5" x14ac:dyDescent="0.45">
      <c r="B18" s="245" t="s">
        <v>40</v>
      </c>
      <c r="C18" s="252">
        <f>' 01 2022'!P73</f>
        <v>0</v>
      </c>
      <c r="D18" s="252">
        <f>' 02 2022'!P82</f>
        <v>485.69</v>
      </c>
      <c r="E18" s="252">
        <f>' 03 2022'!P76</f>
        <v>0</v>
      </c>
      <c r="F18" s="252">
        <f>' 04 2022'!P71</f>
        <v>347.02</v>
      </c>
      <c r="G18" s="252">
        <f>' 05 2022'!P69</f>
        <v>0</v>
      </c>
      <c r="H18" s="252">
        <f>'06 2022'!P54</f>
        <v>122.11</v>
      </c>
      <c r="I18" s="252">
        <f>'07 2022'!P79</f>
        <v>0</v>
      </c>
      <c r="J18" s="252">
        <f>'08 2022'!P51</f>
        <v>82.59</v>
      </c>
      <c r="K18" s="252">
        <f>'09 2022'!P79</f>
        <v>0</v>
      </c>
      <c r="L18" s="252">
        <f>'10 2022'!P66</f>
        <v>99.28</v>
      </c>
      <c r="M18" s="252">
        <f>'11 2022'!P66</f>
        <v>0</v>
      </c>
      <c r="N18" s="252">
        <f>'12 2022'!P73</f>
        <v>238.29</v>
      </c>
      <c r="O18" s="252">
        <f>SUM(C18:N18)</f>
        <v>1374.98</v>
      </c>
      <c r="Q18" s="167"/>
    </row>
    <row r="19" spans="2:17" s="42" customFormat="1" ht="20.5" x14ac:dyDescent="0.45">
      <c r="B19" s="245" t="s">
        <v>112</v>
      </c>
      <c r="C19" s="252">
        <f>' 01 2022'!Q73</f>
        <v>142.75</v>
      </c>
      <c r="D19" s="252">
        <f>' 02 2022'!Q82</f>
        <v>45.17</v>
      </c>
      <c r="E19" s="252">
        <f>' 03 2022'!Q76</f>
        <v>7.99</v>
      </c>
      <c r="F19" s="252">
        <f>' 04 2022'!Q71</f>
        <v>32.08</v>
      </c>
      <c r="G19" s="252">
        <f>' 05 2022'!Q69</f>
        <v>11.5</v>
      </c>
      <c r="H19" s="252">
        <f>'06 2022'!Q54</f>
        <v>8.1999999999999993</v>
      </c>
      <c r="I19" s="252">
        <f>'07 2022'!Q79</f>
        <v>107</v>
      </c>
      <c r="J19" s="252">
        <f>'08 2022'!Q51</f>
        <v>18.850000000000001</v>
      </c>
      <c r="K19" s="252">
        <f>'09 2022'!Q79</f>
        <v>9.9</v>
      </c>
      <c r="L19" s="252">
        <f>'10 2022'!Q66</f>
        <v>75</v>
      </c>
      <c r="M19" s="252">
        <f>'11 2022'!Q66</f>
        <v>100</v>
      </c>
      <c r="N19" s="252">
        <f>'12 2022'!Q73</f>
        <v>47.45</v>
      </c>
      <c r="O19" s="252">
        <f>SUM(C19:N19)</f>
        <v>605.8900000000001</v>
      </c>
      <c r="Q19" s="167"/>
    </row>
    <row r="20" spans="2:17" s="42" customFormat="1" ht="20.5" x14ac:dyDescent="0.45">
      <c r="B20" s="245" t="s">
        <v>41</v>
      </c>
      <c r="C20" s="252">
        <f>' 01 2022'!R73</f>
        <v>0</v>
      </c>
      <c r="D20" s="252">
        <f>' 02 2022'!R82</f>
        <v>0</v>
      </c>
      <c r="E20" s="252">
        <f>' 03 2022'!R76</f>
        <v>0</v>
      </c>
      <c r="F20" s="252">
        <f>' 04 2022'!R71</f>
        <v>0</v>
      </c>
      <c r="G20" s="252">
        <f>' 05 2022'!R69</f>
        <v>0</v>
      </c>
      <c r="H20" s="252">
        <f>'06 2022'!R54</f>
        <v>0</v>
      </c>
      <c r="I20" s="252">
        <f>'07 2022'!R79</f>
        <v>0</v>
      </c>
      <c r="J20" s="252">
        <f>'08 2022'!R51</f>
        <v>0</v>
      </c>
      <c r="K20" s="252">
        <f>'09 2022'!R79</f>
        <v>0</v>
      </c>
      <c r="L20" s="252">
        <f>'10 2022'!R66</f>
        <v>0</v>
      </c>
      <c r="M20" s="252">
        <f>'11 2022'!R66</f>
        <v>0</v>
      </c>
      <c r="N20" s="252">
        <f>'12 2022'!R73</f>
        <v>0</v>
      </c>
      <c r="O20" s="252">
        <f t="shared" ref="O20:O29" si="4">SUM(C20:N20)</f>
        <v>0</v>
      </c>
      <c r="Q20" s="167"/>
    </row>
    <row r="21" spans="2:17" s="42" customFormat="1" ht="20.5" x14ac:dyDescent="0.45">
      <c r="B21" s="245" t="s">
        <v>109</v>
      </c>
      <c r="C21" s="252">
        <f>' 01 2022'!S73</f>
        <v>10.09</v>
      </c>
      <c r="D21" s="252">
        <f>' 02 2022'!S82</f>
        <v>376.46</v>
      </c>
      <c r="E21" s="252">
        <f>' 03 2022'!S76</f>
        <v>10</v>
      </c>
      <c r="F21" s="252">
        <f>' 04 2022'!S71</f>
        <v>12</v>
      </c>
      <c r="G21" s="252">
        <f>' 05 2022'!S69</f>
        <v>119.78</v>
      </c>
      <c r="H21" s="252">
        <f>'06 2022'!S54</f>
        <v>41.29</v>
      </c>
      <c r="I21" s="252">
        <f>'07 2022'!S79</f>
        <v>4.45</v>
      </c>
      <c r="J21" s="252">
        <f>'08 2022'!S51</f>
        <v>53.84</v>
      </c>
      <c r="K21" s="252">
        <f>'09 2022'!S79</f>
        <v>120.07</v>
      </c>
      <c r="L21" s="252">
        <f>'10 2022'!S66</f>
        <v>4.3</v>
      </c>
      <c r="M21" s="252">
        <f>'11 2022'!S66</f>
        <v>129.70999999999998</v>
      </c>
      <c r="N21" s="252">
        <f>'12 2022'!S73</f>
        <v>0</v>
      </c>
      <c r="O21" s="252">
        <f t="shared" si="4"/>
        <v>881.99</v>
      </c>
      <c r="Q21" s="167"/>
    </row>
    <row r="22" spans="2:17" s="42" customFormat="1" ht="20.5" x14ac:dyDescent="0.45">
      <c r="B22" s="245" t="s">
        <v>46</v>
      </c>
      <c r="C22" s="252">
        <f>' 01 2022'!T73</f>
        <v>364.81</v>
      </c>
      <c r="D22" s="252">
        <f>' 02 2022'!T82</f>
        <v>2281.5</v>
      </c>
      <c r="E22" s="252">
        <f>' 03 2022'!T76</f>
        <v>1424.38</v>
      </c>
      <c r="F22" s="252">
        <f>' 04 2022'!T71</f>
        <v>985.5</v>
      </c>
      <c r="G22" s="252">
        <f>' 05 2022'!T69</f>
        <v>0</v>
      </c>
      <c r="H22" s="252">
        <f>'06 2022'!T54</f>
        <v>4210.47</v>
      </c>
      <c r="I22" s="252">
        <f>'07 2022'!T79</f>
        <v>2040.5</v>
      </c>
      <c r="J22" s="252">
        <f>'08 2022'!T51</f>
        <v>0</v>
      </c>
      <c r="K22" s="252">
        <f>'09 2022'!T79</f>
        <v>5320.23</v>
      </c>
      <c r="L22" s="252">
        <f>'10 2022'!T66</f>
        <v>0</v>
      </c>
      <c r="M22" s="252">
        <f>'11 2022'!T66</f>
        <v>450</v>
      </c>
      <c r="N22" s="252">
        <f>'12 2022'!T73</f>
        <v>1984.26</v>
      </c>
      <c r="O22" s="252">
        <f t="shared" si="4"/>
        <v>19061.649999999998</v>
      </c>
      <c r="Q22" s="167"/>
    </row>
    <row r="23" spans="2:17" s="42" customFormat="1" ht="20.5" x14ac:dyDescent="0.45">
      <c r="B23" s="245" t="s">
        <v>42</v>
      </c>
      <c r="C23" s="252">
        <f>' 01 2022'!U73</f>
        <v>1440.45</v>
      </c>
      <c r="D23" s="252">
        <f>' 02 2022'!U82</f>
        <v>0</v>
      </c>
      <c r="E23" s="252">
        <f>' 03 2022'!U76</f>
        <v>0</v>
      </c>
      <c r="F23" s="252">
        <f>' 04 2022'!U71</f>
        <v>1508.34</v>
      </c>
      <c r="G23" s="252">
        <f>' 05 2022'!U69</f>
        <v>0</v>
      </c>
      <c r="H23" s="252">
        <f>'06 2022'!U54</f>
        <v>280</v>
      </c>
      <c r="I23" s="252">
        <f>'07 2022'!U79</f>
        <v>1464.66</v>
      </c>
      <c r="J23" s="252">
        <f>'08 2022'!U51</f>
        <v>0</v>
      </c>
      <c r="K23" s="252">
        <f>'09 2022'!U79</f>
        <v>0</v>
      </c>
      <c r="L23" s="252">
        <f>'10 2022'!U66</f>
        <v>1929.99</v>
      </c>
      <c r="M23" s="252">
        <f>'11 2022'!U66</f>
        <v>0</v>
      </c>
      <c r="N23" s="252">
        <f>'12 2022'!U73</f>
        <v>200</v>
      </c>
      <c r="O23" s="252">
        <f t="shared" si="4"/>
        <v>6823.44</v>
      </c>
      <c r="Q23" s="166"/>
    </row>
    <row r="24" spans="2:17" s="42" customFormat="1" ht="20.5" x14ac:dyDescent="0.45">
      <c r="B24" s="245" t="s">
        <v>43</v>
      </c>
      <c r="C24" s="252">
        <f>' 01 2022'!V73</f>
        <v>807.79</v>
      </c>
      <c r="D24" s="252">
        <f>' 02 2022'!V82</f>
        <v>373.11</v>
      </c>
      <c r="E24" s="252">
        <f>' 03 2022'!V76</f>
        <v>262.79000000000002</v>
      </c>
      <c r="F24" s="252">
        <f>' 04 2022'!V71</f>
        <v>262.79000000000002</v>
      </c>
      <c r="G24" s="252">
        <f>' 05 2022'!V69</f>
        <v>381.59000000000003</v>
      </c>
      <c r="H24" s="252">
        <f>'06 2022'!V54</f>
        <v>262.79000000000002</v>
      </c>
      <c r="I24" s="252">
        <f>'07 2022'!V79</f>
        <v>262.79000000000002</v>
      </c>
      <c r="J24" s="252">
        <f>'08 2022'!V51</f>
        <v>262.79000000000002</v>
      </c>
      <c r="K24" s="252">
        <f>'09 2022'!V79</f>
        <v>262.79000000000002</v>
      </c>
      <c r="L24" s="252">
        <f>'10 2022'!V66</f>
        <v>262.79000000000002</v>
      </c>
      <c r="M24" s="252">
        <f>'11 2022'!V66</f>
        <v>262.79000000000002</v>
      </c>
      <c r="N24" s="252">
        <f>'12 2022'!V73</f>
        <v>361.79</v>
      </c>
      <c r="O24" s="252">
        <f t="shared" si="4"/>
        <v>4026.6</v>
      </c>
      <c r="Q24" s="166"/>
    </row>
    <row r="25" spans="2:17" s="42" customFormat="1" ht="20.5" x14ac:dyDescent="0.45">
      <c r="B25" s="245" t="s">
        <v>62</v>
      </c>
      <c r="C25" s="252">
        <f>' 01 2022'!W73</f>
        <v>10.4</v>
      </c>
      <c r="D25" s="252">
        <f>' 02 2022'!W82</f>
        <v>11.44</v>
      </c>
      <c r="E25" s="252">
        <f>' 03 2022'!W76</f>
        <v>10.44</v>
      </c>
      <c r="F25" s="252">
        <f>' 04 2022'!W71</f>
        <v>10.44</v>
      </c>
      <c r="G25" s="252">
        <f>' 05 2022'!W69</f>
        <v>10.44</v>
      </c>
      <c r="H25" s="252">
        <f>'06 2022'!W54</f>
        <v>10.44</v>
      </c>
      <c r="I25" s="252">
        <f>'07 2022'!W79</f>
        <v>10.44</v>
      </c>
      <c r="J25" s="252">
        <f>'08 2022'!W51</f>
        <v>10.44</v>
      </c>
      <c r="K25" s="252">
        <f>'09 2022'!W79</f>
        <v>10.44</v>
      </c>
      <c r="L25" s="252">
        <f>'10 2022'!W66</f>
        <v>10.44</v>
      </c>
      <c r="M25" s="252">
        <f>'11 2022'!W66</f>
        <v>10.44</v>
      </c>
      <c r="N25" s="252">
        <f>'12 2022'!W73</f>
        <v>10.44</v>
      </c>
      <c r="O25" s="252">
        <f t="shared" si="4"/>
        <v>126.23999999999998</v>
      </c>
      <c r="Q25" s="166"/>
    </row>
    <row r="26" spans="2:17" s="42" customFormat="1" ht="20.5" x14ac:dyDescent="0.45">
      <c r="B26" s="245" t="s">
        <v>44</v>
      </c>
      <c r="C26" s="252">
        <f>' 01 2022'!X73</f>
        <v>0</v>
      </c>
      <c r="D26" s="252">
        <f>' 02 2022'!X82</f>
        <v>0</v>
      </c>
      <c r="E26" s="252">
        <f>' 03 2022'!X76</f>
        <v>0</v>
      </c>
      <c r="F26" s="252">
        <f>' 04 2022'!X71</f>
        <v>0</v>
      </c>
      <c r="G26" s="252">
        <f>' 05 2022'!X69</f>
        <v>0</v>
      </c>
      <c r="H26" s="252">
        <f>'06 2022'!X54</f>
        <v>0</v>
      </c>
      <c r="I26" s="252">
        <f>'07 2022'!X79</f>
        <v>0</v>
      </c>
      <c r="J26" s="252">
        <f>'08 2022'!X51</f>
        <v>0</v>
      </c>
      <c r="K26" s="252">
        <f>'09 2022'!X79</f>
        <v>0</v>
      </c>
      <c r="L26" s="252">
        <f>' 02 2022'!X82</f>
        <v>0</v>
      </c>
      <c r="M26" s="252">
        <f>' 02 2022'!X82</f>
        <v>0</v>
      </c>
      <c r="N26" s="252">
        <f>' 02 2022'!X82</f>
        <v>0</v>
      </c>
      <c r="O26" s="252">
        <f t="shared" si="4"/>
        <v>0</v>
      </c>
      <c r="Q26" s="166"/>
    </row>
    <row r="27" spans="2:17" s="42" customFormat="1" ht="20.5" x14ac:dyDescent="0.45">
      <c r="B27" s="245" t="s">
        <v>53</v>
      </c>
      <c r="C27" s="252">
        <f>' 01 2022'!Y73</f>
        <v>9.58</v>
      </c>
      <c r="D27" s="252">
        <f>' 02 2022'!Y82</f>
        <v>9.9600000000000009</v>
      </c>
      <c r="E27" s="252">
        <f>' 03 2022'!Y76</f>
        <v>18.64</v>
      </c>
      <c r="F27" s="252">
        <f>' 04 2022'!Y71</f>
        <v>21.32</v>
      </c>
      <c r="G27" s="252">
        <f>' 05 2022'!Y69</f>
        <v>0</v>
      </c>
      <c r="H27" s="252">
        <f>'06 2022'!Y54</f>
        <v>26.18</v>
      </c>
      <c r="I27" s="252">
        <f>'07 2022'!Y79</f>
        <v>12.36</v>
      </c>
      <c r="J27" s="252">
        <f>'08 2022'!Y51</f>
        <v>0</v>
      </c>
      <c r="K27" s="252">
        <f>'09 2022'!Y79</f>
        <v>21.060000000000002</v>
      </c>
      <c r="L27" s="252">
        <f>'10 2022'!Y66</f>
        <v>0</v>
      </c>
      <c r="M27" s="252">
        <f>'11 2022'!Y66</f>
        <v>16.829999999999998</v>
      </c>
      <c r="N27" s="252">
        <f>'12 2022'!Y73</f>
        <v>10.64</v>
      </c>
      <c r="O27" s="252">
        <f t="shared" si="4"/>
        <v>146.57</v>
      </c>
      <c r="Q27" s="166"/>
    </row>
    <row r="28" spans="2:17" s="42" customFormat="1" ht="20.5" x14ac:dyDescent="0.45">
      <c r="B28" s="245" t="s">
        <v>122</v>
      </c>
      <c r="C28" s="252">
        <f>' 01 2022'!Z73</f>
        <v>0</v>
      </c>
      <c r="D28" s="252">
        <f>' 02 2022'!Z82</f>
        <v>0</v>
      </c>
      <c r="E28" s="252">
        <f>' 03 2022'!Z76</f>
        <v>0</v>
      </c>
      <c r="F28" s="252">
        <f>' 04 2022'!Z71</f>
        <v>0</v>
      </c>
      <c r="G28" s="252">
        <f>' 05 2022'!Z69</f>
        <v>0</v>
      </c>
      <c r="H28" s="252">
        <f>'06 2022'!Z54</f>
        <v>0</v>
      </c>
      <c r="I28" s="252">
        <f>'07 2022'!Z79</f>
        <v>0</v>
      </c>
      <c r="J28" s="252">
        <f>'08 2022'!Z51</f>
        <v>0</v>
      </c>
      <c r="K28" s="252">
        <f>'09 2022'!Z79</f>
        <v>0</v>
      </c>
      <c r="L28" s="252">
        <f>'10 2022'!Z66</f>
        <v>0</v>
      </c>
      <c r="M28" s="252">
        <f>'11 2022'!Z66</f>
        <v>4000</v>
      </c>
      <c r="N28" s="252">
        <f>'12 2022'!Z73</f>
        <v>0</v>
      </c>
      <c r="O28" s="252">
        <f t="shared" si="4"/>
        <v>4000</v>
      </c>
      <c r="Q28" s="166"/>
    </row>
    <row r="29" spans="2:17" s="42" customFormat="1" ht="20.5" x14ac:dyDescent="0.45">
      <c r="B29" s="245" t="s">
        <v>103</v>
      </c>
      <c r="C29" s="252">
        <f>' 01 2022'!AA73</f>
        <v>0</v>
      </c>
      <c r="D29" s="252">
        <f>' 02 2022'!AA82</f>
        <v>0</v>
      </c>
      <c r="E29" s="252">
        <f>' 03 2022'!AA76</f>
        <v>0</v>
      </c>
      <c r="F29" s="252">
        <f>' 04 2022'!AA71</f>
        <v>0</v>
      </c>
      <c r="G29" s="252">
        <f>' 05 2022'!AA69</f>
        <v>0</v>
      </c>
      <c r="H29" s="252">
        <f>'06 2022'!AA54</f>
        <v>0</v>
      </c>
      <c r="I29" s="252">
        <f>'07 2022'!AA79</f>
        <v>0</v>
      </c>
      <c r="J29" s="252">
        <f>'08 2022'!AA51</f>
        <v>0</v>
      </c>
      <c r="K29" s="252">
        <f>'09 2022'!AA79</f>
        <v>0</v>
      </c>
      <c r="L29" s="252">
        <f>'10 2022'!AA66</f>
        <v>0</v>
      </c>
      <c r="M29" s="252">
        <f>'11 2022'!AA66</f>
        <v>0</v>
      </c>
      <c r="N29" s="252">
        <f>'12 2022'!AA73</f>
        <v>0</v>
      </c>
      <c r="O29" s="252">
        <f t="shared" si="4"/>
        <v>0</v>
      </c>
      <c r="Q29" s="167"/>
    </row>
    <row r="30" spans="2:17" s="42" customFormat="1" ht="20.5" x14ac:dyDescent="0.45">
      <c r="B30" s="253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Q30" s="167"/>
    </row>
    <row r="31" spans="2:17" ht="20.5" thickBot="1" x14ac:dyDescent="0.45">
      <c r="B31" s="254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6"/>
    </row>
    <row r="32" spans="2:17" ht="23" thickBot="1" x14ac:dyDescent="0.5">
      <c r="B32" s="119" t="s">
        <v>87</v>
      </c>
      <c r="C32" s="113">
        <f t="shared" ref="C32:O32" si="5">C6+C8-C17</f>
        <v>8330.7500000000036</v>
      </c>
      <c r="D32" s="113">
        <f t="shared" si="5"/>
        <v>7886.6400000000049</v>
      </c>
      <c r="E32" s="113">
        <f t="shared" si="5"/>
        <v>11100.740000000005</v>
      </c>
      <c r="F32" s="113">
        <f t="shared" si="5"/>
        <v>10632.940000000006</v>
      </c>
      <c r="G32" s="113">
        <f t="shared" si="5"/>
        <v>13965.970000000007</v>
      </c>
      <c r="H32" s="113">
        <f t="shared" si="5"/>
        <v>12285.270000000008</v>
      </c>
      <c r="I32" s="152">
        <f t="shared" si="5"/>
        <v>11587.260000000006</v>
      </c>
      <c r="J32" s="113">
        <f t="shared" si="5"/>
        <v>13901.400000000005</v>
      </c>
      <c r="K32" s="113">
        <f t="shared" si="5"/>
        <v>11957.180000000006</v>
      </c>
      <c r="L32" s="113">
        <f t="shared" si="5"/>
        <v>12281.340000000007</v>
      </c>
      <c r="M32" s="113">
        <f t="shared" si="5"/>
        <v>10483.720000000007</v>
      </c>
      <c r="N32" s="113">
        <f t="shared" si="5"/>
        <v>11041.410000000007</v>
      </c>
      <c r="O32" s="113">
        <f t="shared" si="5"/>
        <v>11041.409999999989</v>
      </c>
      <c r="P32" s="49"/>
    </row>
    <row r="33" spans="2:17" ht="8" customHeight="1" thickBot="1" x14ac:dyDescent="0.45">
      <c r="B33" s="61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</row>
    <row r="34" spans="2:17" ht="24" customHeight="1" thickBot="1" x14ac:dyDescent="0.35">
      <c r="C34" s="109">
        <v>44562</v>
      </c>
      <c r="D34" s="109">
        <v>44593</v>
      </c>
      <c r="E34" s="109">
        <v>44621</v>
      </c>
      <c r="F34" s="109">
        <v>44652</v>
      </c>
      <c r="G34" s="109">
        <v>44682</v>
      </c>
      <c r="H34" s="109">
        <v>44713</v>
      </c>
      <c r="I34" s="109">
        <v>44743</v>
      </c>
      <c r="J34" s="109">
        <v>44774</v>
      </c>
      <c r="K34" s="109">
        <v>44805</v>
      </c>
      <c r="L34" s="109">
        <v>44835</v>
      </c>
      <c r="M34" s="109">
        <v>44866</v>
      </c>
      <c r="N34" s="109">
        <v>44896</v>
      </c>
      <c r="O34" s="108" t="s">
        <v>137</v>
      </c>
    </row>
    <row r="35" spans="2:17" ht="23.5" thickBot="1" x14ac:dyDescent="0.55000000000000004">
      <c r="B35" s="120" t="s">
        <v>51</v>
      </c>
      <c r="C35" s="115">
        <v>6800</v>
      </c>
      <c r="D35" s="115">
        <v>6800</v>
      </c>
      <c r="E35" s="115">
        <v>6800</v>
      </c>
      <c r="F35" s="115">
        <v>6800</v>
      </c>
      <c r="G35" s="115">
        <v>6800</v>
      </c>
      <c r="H35" s="115">
        <v>6800</v>
      </c>
      <c r="I35" s="115">
        <v>6800</v>
      </c>
      <c r="J35" s="115">
        <v>6800</v>
      </c>
      <c r="K35" s="115">
        <v>6800</v>
      </c>
      <c r="L35" s="115">
        <v>6800</v>
      </c>
      <c r="M35" s="115">
        <v>6800</v>
      </c>
      <c r="N35" s="115">
        <v>6800</v>
      </c>
      <c r="O35" s="116">
        <f>E35</f>
        <v>6800</v>
      </c>
      <c r="P35" s="51"/>
    </row>
    <row r="36" spans="2:17" ht="23.5" thickBot="1" x14ac:dyDescent="0.55000000000000004">
      <c r="B36" s="121" t="s">
        <v>401</v>
      </c>
      <c r="C36" s="116">
        <f>C32+C35</f>
        <v>15130.750000000004</v>
      </c>
      <c r="D36" s="116">
        <f t="shared" ref="D36:O36" si="6">D32+D35</f>
        <v>14686.640000000005</v>
      </c>
      <c r="E36" s="116">
        <f t="shared" si="6"/>
        <v>17900.740000000005</v>
      </c>
      <c r="F36" s="116">
        <f t="shared" si="6"/>
        <v>17432.940000000006</v>
      </c>
      <c r="G36" s="116">
        <f t="shared" si="6"/>
        <v>20765.970000000008</v>
      </c>
      <c r="H36" s="116">
        <f t="shared" si="6"/>
        <v>19085.270000000008</v>
      </c>
      <c r="I36" s="116">
        <f t="shared" si="6"/>
        <v>18387.260000000006</v>
      </c>
      <c r="J36" s="116">
        <f t="shared" si="6"/>
        <v>20701.400000000005</v>
      </c>
      <c r="K36" s="116">
        <f t="shared" si="6"/>
        <v>18757.180000000008</v>
      </c>
      <c r="L36" s="116">
        <f t="shared" si="6"/>
        <v>19081.340000000007</v>
      </c>
      <c r="M36" s="116">
        <f t="shared" si="6"/>
        <v>17283.720000000008</v>
      </c>
      <c r="N36" s="116">
        <f t="shared" si="6"/>
        <v>17841.410000000007</v>
      </c>
      <c r="O36" s="117">
        <f t="shared" si="6"/>
        <v>17841.409999999989</v>
      </c>
      <c r="P36" s="51"/>
    </row>
    <row r="37" spans="2:17" s="484" customFormat="1" ht="23" thickBot="1" x14ac:dyDescent="0.5">
      <c r="B37" s="479" t="s">
        <v>402</v>
      </c>
      <c r="C37" s="480">
        <f>C32+C35-$C$47+C52</f>
        <v>14032.060000000005</v>
      </c>
      <c r="D37" s="480">
        <f t="shared" ref="D37:O37" si="7">D32+D35-$C$47+D52</f>
        <v>13771.950000000004</v>
      </c>
      <c r="E37" s="480">
        <f t="shared" si="7"/>
        <v>17120.530000000006</v>
      </c>
      <c r="F37" s="480">
        <f t="shared" si="7"/>
        <v>16620.130000000005</v>
      </c>
      <c r="G37" s="480">
        <f t="shared" si="7"/>
        <v>18274.760000000009</v>
      </c>
      <c r="H37" s="480">
        <f t="shared" si="7"/>
        <v>18911.780000000006</v>
      </c>
      <c r="I37" s="480">
        <f t="shared" si="7"/>
        <v>18128.660000000003</v>
      </c>
      <c r="J37" s="480">
        <f t="shared" si="7"/>
        <v>19309.800000000003</v>
      </c>
      <c r="K37" s="480">
        <f t="shared" si="7"/>
        <v>20565.910000000003</v>
      </c>
      <c r="L37" s="480">
        <f t="shared" si="7"/>
        <v>20008.970000000005</v>
      </c>
      <c r="M37" s="480">
        <f t="shared" si="7"/>
        <v>17325.050000000007</v>
      </c>
      <c r="N37" s="480">
        <f t="shared" si="7"/>
        <v>18130.710000000006</v>
      </c>
      <c r="O37" s="481">
        <f t="shared" si="7"/>
        <v>18130.709999999985</v>
      </c>
      <c r="P37" s="482"/>
      <c r="Q37" s="483"/>
    </row>
    <row r="39" spans="2:17" ht="18" x14ac:dyDescent="0.3">
      <c r="B39" s="551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</row>
    <row r="40" spans="2:17" ht="18" x14ac:dyDescent="0.3">
      <c r="B40" s="549"/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</row>
    <row r="41" spans="2:17" ht="18" x14ac:dyDescent="0.3">
      <c r="B41" s="549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</row>
    <row r="42" spans="2:17" ht="18" x14ac:dyDescent="0.3">
      <c r="B42" s="549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0"/>
    </row>
    <row r="43" spans="2:17" ht="18" x14ac:dyDescent="0.4">
      <c r="B43" s="60"/>
      <c r="C43" s="107"/>
      <c r="D43" s="106"/>
      <c r="E43" s="50"/>
      <c r="F43" s="50"/>
      <c r="G43" s="107"/>
    </row>
    <row r="44" spans="2:17" x14ac:dyDescent="0.3">
      <c r="C44" s="49"/>
    </row>
    <row r="45" spans="2:17" ht="0.65" customHeight="1" thickBot="1" x14ac:dyDescent="0.35"/>
    <row r="46" spans="2:17" ht="23.5" thickBot="1" x14ac:dyDescent="0.35">
      <c r="B46" s="118" t="s">
        <v>565</v>
      </c>
      <c r="C46" s="109">
        <v>44562</v>
      </c>
      <c r="D46" s="109">
        <v>44593</v>
      </c>
      <c r="E46" s="109">
        <v>44621</v>
      </c>
      <c r="F46" s="109">
        <v>44652</v>
      </c>
      <c r="G46" s="109">
        <v>44682</v>
      </c>
      <c r="H46" s="109">
        <v>44713</v>
      </c>
      <c r="I46" s="109">
        <v>44743</v>
      </c>
      <c r="J46" s="109">
        <v>44774</v>
      </c>
      <c r="K46" s="109">
        <v>44805</v>
      </c>
      <c r="L46" s="109">
        <v>44835</v>
      </c>
      <c r="M46" s="109">
        <v>44866</v>
      </c>
      <c r="N46" s="109">
        <v>44896</v>
      </c>
      <c r="O46" s="108" t="s">
        <v>137</v>
      </c>
    </row>
    <row r="47" spans="2:17" ht="22.5" x14ac:dyDescent="0.45">
      <c r="B47" s="123" t="s">
        <v>59</v>
      </c>
      <c r="C47" s="111">
        <v>7238.7</v>
      </c>
      <c r="D47" s="111">
        <f t="shared" ref="D47:M47" si="8">C52</f>
        <v>6140.01</v>
      </c>
      <c r="E47" s="111">
        <f t="shared" si="8"/>
        <v>6324.01</v>
      </c>
      <c r="F47" s="111">
        <f t="shared" si="8"/>
        <v>6458.49</v>
      </c>
      <c r="G47" s="111">
        <f t="shared" si="8"/>
        <v>6425.8899999999994</v>
      </c>
      <c r="H47" s="111">
        <f t="shared" si="8"/>
        <v>4747.49</v>
      </c>
      <c r="I47" s="111">
        <f>H52 - 639.51</f>
        <v>6425.6999999999989</v>
      </c>
      <c r="J47" s="111">
        <f t="shared" si="8"/>
        <v>6980.0999999999985</v>
      </c>
      <c r="K47" s="111">
        <f t="shared" si="8"/>
        <v>5847.0999999999985</v>
      </c>
      <c r="L47" s="111">
        <f t="shared" si="8"/>
        <v>9047.4299999999985</v>
      </c>
      <c r="M47" s="111">
        <f t="shared" si="8"/>
        <v>8166.3299999999981</v>
      </c>
      <c r="N47" s="111">
        <f>M52-517.19</f>
        <v>6762.8399999999983</v>
      </c>
      <c r="O47" s="112">
        <f>N52</f>
        <v>7527.9999999999982</v>
      </c>
    </row>
    <row r="48" spans="2:17" ht="20" x14ac:dyDescent="0.4">
      <c r="B48" s="257"/>
      <c r="C48" s="258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60"/>
    </row>
    <row r="49" spans="2:17" ht="20.5" x14ac:dyDescent="0.45">
      <c r="B49" s="261" t="s">
        <v>32</v>
      </c>
      <c r="C49" s="252">
        <f>C12</f>
        <v>1463.5</v>
      </c>
      <c r="D49" s="252">
        <f t="shared" ref="D49:N49" si="9">D12</f>
        <v>2097.5</v>
      </c>
      <c r="E49" s="252">
        <f t="shared" si="9"/>
        <v>1289.9000000000001</v>
      </c>
      <c r="F49" s="252">
        <f t="shared" si="9"/>
        <v>1018.1</v>
      </c>
      <c r="G49" s="252">
        <f t="shared" si="9"/>
        <v>1678.4</v>
      </c>
      <c r="H49" s="252">
        <f t="shared" si="9"/>
        <v>1892.75</v>
      </c>
      <c r="I49" s="252">
        <f t="shared" si="9"/>
        <v>1486.1</v>
      </c>
      <c r="J49" s="252">
        <f t="shared" si="9"/>
        <v>1133</v>
      </c>
      <c r="K49" s="252">
        <f t="shared" si="9"/>
        <v>2119.9</v>
      </c>
      <c r="L49" s="252">
        <f t="shared" si="9"/>
        <v>881.1</v>
      </c>
      <c r="M49" s="252">
        <f t="shared" si="9"/>
        <v>1336.3</v>
      </c>
      <c r="N49" s="252">
        <f t="shared" si="9"/>
        <v>1219.1000000000001</v>
      </c>
      <c r="O49" s="262">
        <f>SUM(C49:N49)</f>
        <v>17615.649999999998</v>
      </c>
      <c r="P49" s="49"/>
      <c r="Q49" s="166"/>
    </row>
    <row r="50" spans="2:17" ht="20.5" x14ac:dyDescent="0.45">
      <c r="B50" s="245" t="s">
        <v>31</v>
      </c>
      <c r="C50" s="252">
        <f>C22</f>
        <v>364.81</v>
      </c>
      <c r="D50" s="251">
        <f t="shared" ref="D50:N50" si="10">D22</f>
        <v>2281.5</v>
      </c>
      <c r="E50" s="251">
        <f t="shared" si="10"/>
        <v>1424.38</v>
      </c>
      <c r="F50" s="251">
        <f t="shared" si="10"/>
        <v>985.5</v>
      </c>
      <c r="G50" s="251">
        <f t="shared" si="10"/>
        <v>0</v>
      </c>
      <c r="H50" s="251">
        <f t="shared" si="10"/>
        <v>4210.47</v>
      </c>
      <c r="I50" s="251">
        <f t="shared" si="10"/>
        <v>2040.5</v>
      </c>
      <c r="J50" s="251">
        <f t="shared" si="10"/>
        <v>0</v>
      </c>
      <c r="K50" s="251">
        <f t="shared" si="10"/>
        <v>5320.23</v>
      </c>
      <c r="L50" s="251">
        <f t="shared" si="10"/>
        <v>0</v>
      </c>
      <c r="M50" s="251">
        <f t="shared" si="10"/>
        <v>450</v>
      </c>
      <c r="N50" s="251">
        <f t="shared" si="10"/>
        <v>1984.26</v>
      </c>
      <c r="O50" s="262">
        <f>SUM(C50:N50)</f>
        <v>19061.649999999998</v>
      </c>
      <c r="P50" s="49"/>
      <c r="Q50" s="166"/>
    </row>
    <row r="51" spans="2:17" ht="20.5" thickBot="1" x14ac:dyDescent="0.45">
      <c r="B51" s="263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6"/>
      <c r="Q51" s="166"/>
    </row>
    <row r="52" spans="2:17" ht="23" thickBot="1" x14ac:dyDescent="0.5">
      <c r="B52" s="119" t="s">
        <v>47</v>
      </c>
      <c r="C52" s="113">
        <f>C47-C49+C50</f>
        <v>6140.01</v>
      </c>
      <c r="D52" s="113">
        <f>D47-D49+D50</f>
        <v>6324.01</v>
      </c>
      <c r="E52" s="113">
        <f t="shared" ref="E52:N52" si="11">E47+E50-E49</f>
        <v>6458.49</v>
      </c>
      <c r="F52" s="113">
        <f t="shared" si="11"/>
        <v>6425.8899999999994</v>
      </c>
      <c r="G52" s="113">
        <f t="shared" si="11"/>
        <v>4747.49</v>
      </c>
      <c r="H52" s="113">
        <f>H47+H50-H49</f>
        <v>7065.2099999999991</v>
      </c>
      <c r="I52" s="113">
        <f t="shared" si="11"/>
        <v>6980.0999999999985</v>
      </c>
      <c r="J52" s="113">
        <f t="shared" si="11"/>
        <v>5847.0999999999985</v>
      </c>
      <c r="K52" s="113">
        <f t="shared" si="11"/>
        <v>9047.4299999999985</v>
      </c>
      <c r="L52" s="113">
        <f t="shared" si="11"/>
        <v>8166.3299999999981</v>
      </c>
      <c r="M52" s="113">
        <f t="shared" si="11"/>
        <v>7280.0299999999979</v>
      </c>
      <c r="N52" s="113">
        <f t="shared" si="11"/>
        <v>7527.9999999999982</v>
      </c>
      <c r="O52" s="122">
        <f>N52</f>
        <v>7527.9999999999982</v>
      </c>
      <c r="Q52" s="166"/>
    </row>
    <row r="54" spans="2:17" ht="17.5" x14ac:dyDescent="0.35">
      <c r="B54" s="50"/>
      <c r="I54" t="s">
        <v>510</v>
      </c>
      <c r="N54" t="s">
        <v>752</v>
      </c>
    </row>
    <row r="55" spans="2:17" ht="17.5" x14ac:dyDescent="0.35">
      <c r="B55" s="50"/>
      <c r="I55" s="140" t="s">
        <v>511</v>
      </c>
      <c r="N55" t="s">
        <v>753</v>
      </c>
    </row>
    <row r="62" spans="2:17" x14ac:dyDescent="0.3">
      <c r="B62" s="45"/>
    </row>
    <row r="63" spans="2:17" x14ac:dyDescent="0.3">
      <c r="B63" s="44"/>
      <c r="C63" s="44"/>
    </row>
    <row r="64" spans="2:17" x14ac:dyDescent="0.3">
      <c r="B64" s="44"/>
    </row>
    <row r="65" spans="2:2" x14ac:dyDescent="0.3">
      <c r="B65" s="45"/>
    </row>
  </sheetData>
  <mergeCells count="4">
    <mergeCell ref="B40:O40"/>
    <mergeCell ref="B41:O41"/>
    <mergeCell ref="B39:O39"/>
    <mergeCell ref="B42:O42"/>
  </mergeCells>
  <printOptions horizontalCentered="1" verticalCentered="1"/>
  <pageMargins left="0" right="0" top="0.74803149606299213" bottom="0.74803149606299213" header="0.31496062992125984" footer="0.31496062992125984"/>
  <pageSetup paperSize="9" scale="38" fitToWidth="0" fitToHeight="0" orientation="landscape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L54"/>
  <sheetViews>
    <sheetView showGridLines="0" topLeftCell="A19" zoomScaleNormal="100" workbookViewId="0">
      <selection activeCell="N47" sqref="N47"/>
    </sheetView>
  </sheetViews>
  <sheetFormatPr baseColWidth="10" defaultRowHeight="12.5" x14ac:dyDescent="0.25"/>
  <cols>
    <col min="1" max="1" width="78.81640625" style="41" customWidth="1"/>
    <col min="2" max="2" width="15.81640625" customWidth="1"/>
    <col min="3" max="6" width="13.90625" customWidth="1"/>
    <col min="7" max="7" width="10" customWidth="1"/>
    <col min="8" max="8" width="11.08984375" hidden="1" customWidth="1"/>
    <col min="9" max="9" width="85.36328125" customWidth="1"/>
    <col min="10" max="10" width="5.90625" customWidth="1"/>
  </cols>
  <sheetData>
    <row r="1" spans="1:11" ht="13" x14ac:dyDescent="0.3">
      <c r="A1" s="138" t="s">
        <v>705</v>
      </c>
    </row>
    <row r="2" spans="1:11" ht="13" x14ac:dyDescent="0.3">
      <c r="A2" s="138" t="s">
        <v>117</v>
      </c>
    </row>
    <row r="3" spans="1:11" ht="13.5" thickBot="1" x14ac:dyDescent="0.35">
      <c r="A3" s="138" t="s">
        <v>129</v>
      </c>
    </row>
    <row r="4" spans="1:11" s="86" customFormat="1" ht="15.5" x14ac:dyDescent="0.25">
      <c r="A4" s="139" t="s">
        <v>566</v>
      </c>
      <c r="B4" s="386">
        <v>2020</v>
      </c>
      <c r="C4" s="173">
        <v>2021</v>
      </c>
      <c r="D4" s="175">
        <v>2021</v>
      </c>
      <c r="E4" s="177">
        <v>2022</v>
      </c>
      <c r="F4" s="390">
        <v>2022</v>
      </c>
      <c r="G4" s="135">
        <v>2022</v>
      </c>
      <c r="H4" s="98"/>
      <c r="I4" s="139" t="s">
        <v>106</v>
      </c>
    </row>
    <row r="5" spans="1:11" s="86" customFormat="1" ht="14" x14ac:dyDescent="0.25">
      <c r="A5" s="87"/>
      <c r="B5" s="387" t="s">
        <v>94</v>
      </c>
      <c r="C5" s="174" t="s">
        <v>95</v>
      </c>
      <c r="D5" s="176" t="s">
        <v>94</v>
      </c>
      <c r="E5" s="178" t="s">
        <v>95</v>
      </c>
      <c r="F5" s="391" t="s">
        <v>119</v>
      </c>
      <c r="G5" s="136" t="s">
        <v>120</v>
      </c>
      <c r="H5" s="99" t="s">
        <v>50</v>
      </c>
      <c r="I5" s="87"/>
    </row>
    <row r="6" spans="1:11" s="44" customFormat="1" ht="13" x14ac:dyDescent="0.3">
      <c r="A6" s="90" t="s">
        <v>115</v>
      </c>
      <c r="B6" s="388">
        <v>9630.59</v>
      </c>
      <c r="C6" s="383">
        <f>B39</f>
        <v>20048.55</v>
      </c>
      <c r="D6" s="384">
        <v>20048.55</v>
      </c>
      <c r="E6" s="385">
        <f>'Récapitulatif '!C6</f>
        <v>8854.2500000000018</v>
      </c>
      <c r="F6" s="392">
        <f>'Récapitulatif '!C6</f>
        <v>8854.2500000000018</v>
      </c>
      <c r="G6" s="137"/>
      <c r="H6" s="100">
        <f>F6-B6</f>
        <v>-776.33999999999833</v>
      </c>
      <c r="I6" s="89"/>
    </row>
    <row r="7" spans="1:11" ht="4.5" customHeight="1" x14ac:dyDescent="0.25">
      <c r="A7" s="91"/>
      <c r="B7" s="389"/>
      <c r="C7" s="172"/>
      <c r="D7" s="171"/>
      <c r="E7" s="172"/>
      <c r="F7" s="171"/>
      <c r="G7" s="88"/>
      <c r="H7" s="101"/>
      <c r="I7" s="88"/>
    </row>
    <row r="8" spans="1:11" ht="13" x14ac:dyDescent="0.25">
      <c r="A8" s="455" t="s">
        <v>89</v>
      </c>
      <c r="B8" s="461"/>
      <c r="C8" s="402"/>
      <c r="D8" s="403"/>
      <c r="E8" s="402"/>
      <c r="F8" s="403"/>
      <c r="G8" s="401"/>
      <c r="H8" s="101"/>
      <c r="I8" s="88"/>
    </row>
    <row r="9" spans="1:11" ht="13" x14ac:dyDescent="0.25">
      <c r="A9" s="456" t="s">
        <v>36</v>
      </c>
      <c r="B9" s="395">
        <v>124.96000000000001</v>
      </c>
      <c r="C9" s="396">
        <v>0</v>
      </c>
      <c r="D9" s="397">
        <v>0</v>
      </c>
      <c r="E9" s="398">
        <v>120</v>
      </c>
      <c r="F9" s="399">
        <f>'Récapitulatif '!O9</f>
        <v>298.26</v>
      </c>
      <c r="G9" s="400">
        <f>IF(E9=0,0,F9/E9)</f>
        <v>2.4855</v>
      </c>
      <c r="H9" s="102">
        <f>F9-C9</f>
        <v>298.26</v>
      </c>
      <c r="I9" s="394" t="s">
        <v>149</v>
      </c>
      <c r="K9" s="51"/>
    </row>
    <row r="10" spans="1:11" ht="13" x14ac:dyDescent="0.25">
      <c r="A10" s="456" t="s">
        <v>37</v>
      </c>
      <c r="B10" s="395">
        <v>20922.150000000001</v>
      </c>
      <c r="C10" s="396">
        <v>12000</v>
      </c>
      <c r="D10" s="397">
        <v>19233.2</v>
      </c>
      <c r="E10" s="398">
        <f>1500*12</f>
        <v>18000</v>
      </c>
      <c r="F10" s="399">
        <f>'Récapitulatif '!O10</f>
        <v>21280.660000000003</v>
      </c>
      <c r="G10" s="400">
        <f t="shared" ref="G10:G17" si="0">IF(E10=0,0,F10/E10)</f>
        <v>1.1822588888888892</v>
      </c>
      <c r="H10" s="102">
        <f t="shared" ref="H10:H15" si="1">F10-C10</f>
        <v>9280.6600000000035</v>
      </c>
      <c r="I10" s="394" t="s">
        <v>148</v>
      </c>
      <c r="J10" s="51"/>
      <c r="K10" s="51"/>
    </row>
    <row r="11" spans="1:11" ht="13" x14ac:dyDescent="0.25">
      <c r="A11" s="456" t="s">
        <v>38</v>
      </c>
      <c r="B11" s="395">
        <v>0</v>
      </c>
      <c r="C11" s="396">
        <v>0</v>
      </c>
      <c r="D11" s="397">
        <v>0</v>
      </c>
      <c r="E11" s="398">
        <v>0</v>
      </c>
      <c r="F11" s="399">
        <f>'Récapitulatif '!O11</f>
        <v>0</v>
      </c>
      <c r="G11" s="400">
        <f t="shared" si="0"/>
        <v>0</v>
      </c>
      <c r="H11" s="102">
        <f t="shared" si="1"/>
        <v>0</v>
      </c>
      <c r="I11" s="394"/>
    </row>
    <row r="12" spans="1:11" ht="13" x14ac:dyDescent="0.25">
      <c r="A12" s="456" t="s">
        <v>45</v>
      </c>
      <c r="B12" s="395">
        <v>5570.1</v>
      </c>
      <c r="C12" s="396">
        <v>5000</v>
      </c>
      <c r="D12" s="397">
        <v>8857.85</v>
      </c>
      <c r="E12" s="398">
        <v>9100</v>
      </c>
      <c r="F12" s="399">
        <f>'Récapitulatif '!O12</f>
        <v>17615.649999999998</v>
      </c>
      <c r="G12" s="400">
        <f t="shared" si="0"/>
        <v>1.935785714285714</v>
      </c>
      <c r="H12" s="102">
        <f t="shared" si="1"/>
        <v>12615.649999999998</v>
      </c>
      <c r="I12" s="394" t="s">
        <v>188</v>
      </c>
    </row>
    <row r="13" spans="1:11" ht="13" x14ac:dyDescent="0.25">
      <c r="A13" s="456" t="s">
        <v>96</v>
      </c>
      <c r="B13" s="395">
        <v>80.64</v>
      </c>
      <c r="C13" s="396">
        <v>40</v>
      </c>
      <c r="D13" s="397">
        <v>0</v>
      </c>
      <c r="E13" s="398">
        <v>40</v>
      </c>
      <c r="F13" s="399">
        <f>'Récapitulatif '!O13</f>
        <v>0</v>
      </c>
      <c r="G13" s="400">
        <f t="shared" si="0"/>
        <v>0</v>
      </c>
      <c r="H13" s="102">
        <f t="shared" si="1"/>
        <v>-40</v>
      </c>
      <c r="I13" s="394" t="s">
        <v>186</v>
      </c>
    </row>
    <row r="14" spans="1:11" ht="13" x14ac:dyDescent="0.25">
      <c r="A14" s="456" t="s">
        <v>107</v>
      </c>
      <c r="B14" s="395">
        <v>0</v>
      </c>
      <c r="C14" s="396">
        <v>77.849999999999994</v>
      </c>
      <c r="D14" s="397">
        <v>77.849999999999994</v>
      </c>
      <c r="E14" s="398">
        <v>39.950000000000003</v>
      </c>
      <c r="F14" s="399">
        <f>'Récapitulatif '!O14</f>
        <v>39.950000000000003</v>
      </c>
      <c r="G14" s="400">
        <f t="shared" si="0"/>
        <v>1</v>
      </c>
      <c r="H14" s="102">
        <f t="shared" si="1"/>
        <v>-37.899999999999991</v>
      </c>
      <c r="I14" s="394" t="s">
        <v>140</v>
      </c>
    </row>
    <row r="15" spans="1:11" ht="13" x14ac:dyDescent="0.25">
      <c r="A15" s="456" t="s">
        <v>101</v>
      </c>
      <c r="B15" s="395">
        <v>3427.33</v>
      </c>
      <c r="C15" s="396">
        <f>-C46</f>
        <v>5852.13</v>
      </c>
      <c r="D15" s="397">
        <v>5852.13</v>
      </c>
      <c r="E15" s="398">
        <v>0</v>
      </c>
      <c r="F15" s="399">
        <f>'Récapitulatif '!O15</f>
        <v>0</v>
      </c>
      <c r="G15" s="400">
        <f t="shared" si="0"/>
        <v>0</v>
      </c>
      <c r="H15" s="102">
        <f t="shared" si="1"/>
        <v>-5852.13</v>
      </c>
      <c r="I15" s="394" t="s">
        <v>105</v>
      </c>
    </row>
    <row r="16" spans="1:11" ht="6" customHeight="1" x14ac:dyDescent="0.25">
      <c r="A16" s="457"/>
      <c r="B16" s="401"/>
      <c r="C16" s="402"/>
      <c r="D16" s="403"/>
      <c r="E16" s="404"/>
      <c r="F16" s="403"/>
      <c r="G16" s="401"/>
      <c r="H16" s="101"/>
      <c r="I16" s="88"/>
    </row>
    <row r="17" spans="1:11" s="44" customFormat="1" ht="13" x14ac:dyDescent="0.3">
      <c r="A17" s="455" t="s">
        <v>91</v>
      </c>
      <c r="B17" s="405">
        <f>SUM(B9:B16)</f>
        <v>30125.18</v>
      </c>
      <c r="C17" s="406">
        <f>SUM(C9:C15)</f>
        <v>22969.98</v>
      </c>
      <c r="D17" s="407">
        <f>SUM(D9:D15)</f>
        <v>34021.03</v>
      </c>
      <c r="E17" s="406">
        <f>SUM(E9:E15)</f>
        <v>27299.95</v>
      </c>
      <c r="F17" s="408">
        <f>SUM(F9:F15)</f>
        <v>39234.519999999997</v>
      </c>
      <c r="G17" s="400">
        <f t="shared" si="0"/>
        <v>1.4371645369313861</v>
      </c>
      <c r="H17" s="131">
        <f>F17-C17</f>
        <v>16264.539999999997</v>
      </c>
      <c r="I17" s="89"/>
    </row>
    <row r="18" spans="1:11" ht="5" customHeight="1" x14ac:dyDescent="0.25">
      <c r="A18" s="458"/>
      <c r="B18" s="409"/>
      <c r="C18" s="402"/>
      <c r="D18" s="403"/>
      <c r="E18" s="404"/>
      <c r="F18" s="403"/>
      <c r="G18" s="410"/>
      <c r="H18" s="101"/>
      <c r="I18" s="88"/>
    </row>
    <row r="19" spans="1:11" ht="13" x14ac:dyDescent="0.25">
      <c r="A19" s="455" t="s">
        <v>90</v>
      </c>
      <c r="B19" s="401"/>
      <c r="C19" s="402"/>
      <c r="D19" s="403"/>
      <c r="E19" s="404"/>
      <c r="F19" s="403"/>
      <c r="G19" s="410"/>
      <c r="H19" s="101"/>
      <c r="I19" s="88"/>
    </row>
    <row r="20" spans="1:11" ht="13" x14ac:dyDescent="0.25">
      <c r="A20" s="456" t="s">
        <v>40</v>
      </c>
      <c r="B20" s="395">
        <f>-1363.74</f>
        <v>-1363.74</v>
      </c>
      <c r="C20" s="396">
        <f>-1500</f>
        <v>-1500</v>
      </c>
      <c r="D20" s="397">
        <v>-1202.9699999999998</v>
      </c>
      <c r="E20" s="398">
        <v>-1608</v>
      </c>
      <c r="F20" s="399">
        <f>-'Récapitulatif '!O18</f>
        <v>-1374.98</v>
      </c>
      <c r="G20" s="400">
        <f t="shared" ref="G20:G30" si="2">IF(E20=0,0,F20/E20)</f>
        <v>0.85508706467661688</v>
      </c>
      <c r="H20" s="102">
        <f>F20-C20</f>
        <v>125.01999999999998</v>
      </c>
      <c r="I20" s="394" t="s">
        <v>184</v>
      </c>
    </row>
    <row r="21" spans="1:11" ht="13" x14ac:dyDescent="0.25">
      <c r="A21" s="456" t="s">
        <v>111</v>
      </c>
      <c r="B21" s="395">
        <f>-332.08</f>
        <v>-332.08</v>
      </c>
      <c r="C21" s="396">
        <f>-500</f>
        <v>-500</v>
      </c>
      <c r="D21" s="397">
        <v>-291.19</v>
      </c>
      <c r="E21" s="398">
        <v>-480</v>
      </c>
      <c r="F21" s="399">
        <f>-('Récapitulatif '!O19)</f>
        <v>-605.8900000000001</v>
      </c>
      <c r="G21" s="400">
        <f t="shared" si="2"/>
        <v>1.2622708333333335</v>
      </c>
      <c r="H21" s="102">
        <f t="shared" ref="H21:H34" si="3">F21-C21</f>
        <v>-105.8900000000001</v>
      </c>
      <c r="I21" s="394" t="s">
        <v>181</v>
      </c>
    </row>
    <row r="22" spans="1:11" ht="13" x14ac:dyDescent="0.25">
      <c r="A22" s="456" t="s">
        <v>41</v>
      </c>
      <c r="B22" s="395">
        <f>-244.44</f>
        <v>-244.44</v>
      </c>
      <c r="C22" s="396">
        <f>0</f>
        <v>0</v>
      </c>
      <c r="D22" s="397">
        <v>0</v>
      </c>
      <c r="E22" s="398">
        <v>0</v>
      </c>
      <c r="F22" s="399">
        <f>-('Récapitulatif '!O20)</f>
        <v>0</v>
      </c>
      <c r="G22" s="400">
        <f t="shared" si="2"/>
        <v>0</v>
      </c>
      <c r="H22" s="102">
        <f t="shared" si="3"/>
        <v>0</v>
      </c>
      <c r="I22" s="394" t="s">
        <v>209</v>
      </c>
    </row>
    <row r="23" spans="1:11" ht="28.25" customHeight="1" x14ac:dyDescent="0.25">
      <c r="A23" s="454" t="s">
        <v>109</v>
      </c>
      <c r="B23" s="395">
        <f>-3507.6</f>
        <v>-3507.6</v>
      </c>
      <c r="C23" s="396">
        <f>-250</f>
        <v>-250</v>
      </c>
      <c r="D23" s="397">
        <v>-230.59000000000003</v>
      </c>
      <c r="E23" s="398">
        <v>-500</v>
      </c>
      <c r="F23" s="399">
        <f>-('Récapitulatif '!O21)</f>
        <v>-881.99</v>
      </c>
      <c r="G23" s="400">
        <f t="shared" si="2"/>
        <v>1.7639800000000001</v>
      </c>
      <c r="H23" s="102">
        <f t="shared" si="3"/>
        <v>-631.99</v>
      </c>
      <c r="I23" s="394" t="s">
        <v>256</v>
      </c>
    </row>
    <row r="24" spans="1:11" ht="13" x14ac:dyDescent="0.25">
      <c r="A24" s="456" t="s">
        <v>46</v>
      </c>
      <c r="B24" s="395">
        <f>-6437</f>
        <v>-6437</v>
      </c>
      <c r="C24" s="396">
        <f>-5000</f>
        <v>-5000</v>
      </c>
      <c r="D24" s="397">
        <v>-8258.5</v>
      </c>
      <c r="E24" s="398">
        <v>-9920</v>
      </c>
      <c r="F24" s="399">
        <f>-('Récapitulatif '!O22)</f>
        <v>-19061.649999999998</v>
      </c>
      <c r="G24" s="400">
        <f t="shared" si="2"/>
        <v>1.9215372983870966</v>
      </c>
      <c r="H24" s="102">
        <f t="shared" si="3"/>
        <v>-14061.649999999998</v>
      </c>
      <c r="I24" s="394" t="s">
        <v>189</v>
      </c>
    </row>
    <row r="25" spans="1:11" ht="13" x14ac:dyDescent="0.25">
      <c r="A25" s="456" t="s">
        <v>42</v>
      </c>
      <c r="B25" s="395">
        <f>-3678.6</f>
        <v>-3678.6</v>
      </c>
      <c r="C25" s="396">
        <f>-(3400*2+3400)</f>
        <v>-10200</v>
      </c>
      <c r="D25" s="397">
        <v>-9493.9500000000007</v>
      </c>
      <c r="E25" s="398">
        <v>-6800</v>
      </c>
      <c r="F25" s="399">
        <f>-('Récapitulatif '!O23)</f>
        <v>-6823.44</v>
      </c>
      <c r="G25" s="400">
        <f t="shared" si="2"/>
        <v>1.0034470588235294</v>
      </c>
      <c r="H25" s="102">
        <f t="shared" si="3"/>
        <v>3376.5600000000004</v>
      </c>
      <c r="I25" s="394" t="s">
        <v>197</v>
      </c>
    </row>
    <row r="26" spans="1:11" ht="28.75" customHeight="1" x14ac:dyDescent="0.25">
      <c r="A26" s="454" t="s">
        <v>108</v>
      </c>
      <c r="B26" s="395">
        <f>-3611.48</f>
        <v>-3611.48</v>
      </c>
      <c r="C26" s="396">
        <f>-((160.8+29.99+60)*12)-150-100-100-100</f>
        <v>-3459.4800000000005</v>
      </c>
      <c r="D26" s="397">
        <v>-3270.8799999999997</v>
      </c>
      <c r="E26" s="398">
        <v>-3864.96</v>
      </c>
      <c r="F26" s="399">
        <f>-('Récapitulatif '!O24)</f>
        <v>-4026.6</v>
      </c>
      <c r="G26" s="400">
        <f t="shared" si="2"/>
        <v>1.0418219076005961</v>
      </c>
      <c r="H26" s="393">
        <f t="shared" si="3"/>
        <v>-567.11999999999944</v>
      </c>
      <c r="I26" s="394" t="s">
        <v>193</v>
      </c>
    </row>
    <row r="27" spans="1:11" ht="13" x14ac:dyDescent="0.25">
      <c r="A27" s="456" t="s">
        <v>62</v>
      </c>
      <c r="B27" s="395">
        <f>-238.9</f>
        <v>-238.9</v>
      </c>
      <c r="C27" s="396">
        <f>-10.4*12</f>
        <v>-124.80000000000001</v>
      </c>
      <c r="D27" s="397">
        <v>-126.80000000000004</v>
      </c>
      <c r="E27" s="398">
        <v>-137</v>
      </c>
      <c r="F27" s="399">
        <f>-('Récapitulatif '!O25)</f>
        <v>-126.23999999999998</v>
      </c>
      <c r="G27" s="400">
        <f t="shared" si="2"/>
        <v>0.9214598540145984</v>
      </c>
      <c r="H27" s="102">
        <f t="shared" si="3"/>
        <v>-1.4399999999999693</v>
      </c>
      <c r="I27" s="394" t="s">
        <v>216</v>
      </c>
    </row>
    <row r="28" spans="1:11" ht="13" x14ac:dyDescent="0.25">
      <c r="A28" s="456" t="s">
        <v>110</v>
      </c>
      <c r="B28" s="395">
        <f>-116.13</f>
        <v>-116.13</v>
      </c>
      <c r="C28" s="396">
        <f>-40</f>
        <v>-40</v>
      </c>
      <c r="D28" s="397">
        <v>0</v>
      </c>
      <c r="E28" s="398">
        <v>-40</v>
      </c>
      <c r="F28" s="399">
        <f>-('Récapitulatif '!O26)</f>
        <v>0</v>
      </c>
      <c r="G28" s="400">
        <f t="shared" si="2"/>
        <v>0</v>
      </c>
      <c r="H28" s="102">
        <f t="shared" si="3"/>
        <v>40</v>
      </c>
      <c r="I28" s="394" t="s">
        <v>186</v>
      </c>
    </row>
    <row r="29" spans="1:11" ht="13" x14ac:dyDescent="0.25">
      <c r="A29" s="456" t="s">
        <v>114</v>
      </c>
      <c r="B29" s="411">
        <f>-177.25</f>
        <v>-177.25</v>
      </c>
      <c r="C29" s="396">
        <f>-150</f>
        <v>-150</v>
      </c>
      <c r="D29" s="397">
        <v>-181.85</v>
      </c>
      <c r="E29" s="398">
        <v>-200</v>
      </c>
      <c r="F29" s="399">
        <f>-('Récapitulatif '!O27)</f>
        <v>-146.57</v>
      </c>
      <c r="G29" s="400">
        <f t="shared" si="2"/>
        <v>0.73285</v>
      </c>
      <c r="H29" s="102">
        <f t="shared" si="3"/>
        <v>3.4300000000000068</v>
      </c>
      <c r="I29" s="394" t="s">
        <v>125</v>
      </c>
    </row>
    <row r="30" spans="1:11" ht="13" x14ac:dyDescent="0.25">
      <c r="A30" s="456" t="s">
        <v>121</v>
      </c>
      <c r="B30" s="411">
        <f>0</f>
        <v>0</v>
      </c>
      <c r="C30" s="396">
        <f>-6000</f>
        <v>-6000</v>
      </c>
      <c r="D30" s="397">
        <v>-18591.52</v>
      </c>
      <c r="E30" s="398">
        <v>-650</v>
      </c>
      <c r="F30" s="399">
        <f>-('Récapitulatif '!O28)</f>
        <v>-4000</v>
      </c>
      <c r="G30" s="400">
        <f t="shared" si="2"/>
        <v>6.1538461538461542</v>
      </c>
      <c r="H30" s="102">
        <f t="shared" si="3"/>
        <v>2000</v>
      </c>
      <c r="I30" s="394" t="s">
        <v>187</v>
      </c>
    </row>
    <row r="31" spans="1:11" ht="13" x14ac:dyDescent="0.25">
      <c r="A31" s="456"/>
      <c r="B31" s="411"/>
      <c r="C31" s="412"/>
      <c r="D31" s="413"/>
      <c r="E31" s="414"/>
      <c r="F31" s="415"/>
      <c r="G31" s="416"/>
      <c r="H31" s="102">
        <f t="shared" si="3"/>
        <v>0</v>
      </c>
      <c r="I31" s="394"/>
      <c r="J31" s="51"/>
    </row>
    <row r="32" spans="1:11" ht="13" x14ac:dyDescent="0.25">
      <c r="A32" s="459" t="s">
        <v>180</v>
      </c>
      <c r="B32" s="411">
        <v>0</v>
      </c>
      <c r="C32" s="396">
        <f>-800</f>
        <v>-800</v>
      </c>
      <c r="D32" s="397">
        <v>-800</v>
      </c>
      <c r="E32" s="417">
        <v>-1500</v>
      </c>
      <c r="F32" s="418"/>
      <c r="G32" s="400">
        <f t="shared" ref="G32:G34" si="4">IF(E32=0,0,F32/E32)</f>
        <v>0</v>
      </c>
      <c r="H32" s="102">
        <f t="shared" si="3"/>
        <v>800</v>
      </c>
      <c r="I32" s="394" t="s">
        <v>182</v>
      </c>
      <c r="J32" s="51"/>
      <c r="K32" s="51"/>
    </row>
    <row r="33" spans="1:12" ht="13" x14ac:dyDescent="0.25">
      <c r="A33" s="459" t="s">
        <v>192</v>
      </c>
      <c r="B33" s="411"/>
      <c r="C33" s="396"/>
      <c r="D33" s="397"/>
      <c r="E33" s="417">
        <v>-1600</v>
      </c>
      <c r="F33" s="418"/>
      <c r="G33" s="400">
        <f t="shared" si="4"/>
        <v>0</v>
      </c>
      <c r="H33" s="102"/>
      <c r="I33" s="394" t="s">
        <v>183</v>
      </c>
      <c r="J33" s="51"/>
      <c r="K33" s="51"/>
    </row>
    <row r="34" spans="1:12" ht="13" x14ac:dyDescent="0.25">
      <c r="A34" s="459" t="s">
        <v>190</v>
      </c>
      <c r="B34" s="411">
        <v>0</v>
      </c>
      <c r="C34" s="396">
        <f>-1250-4890</f>
        <v>-6140</v>
      </c>
      <c r="D34" s="397">
        <f>-1250-789.47-727.61</f>
        <v>-2767.08</v>
      </c>
      <c r="E34" s="417">
        <v>0</v>
      </c>
      <c r="F34" s="418"/>
      <c r="G34" s="400">
        <f t="shared" si="4"/>
        <v>0</v>
      </c>
      <c r="H34" s="102">
        <f t="shared" si="3"/>
        <v>6140</v>
      </c>
      <c r="I34" s="394" t="s">
        <v>191</v>
      </c>
      <c r="J34" s="51"/>
      <c r="K34" s="51"/>
    </row>
    <row r="35" spans="1:12" ht="13" x14ac:dyDescent="0.25">
      <c r="A35" s="460"/>
      <c r="B35" s="411"/>
      <c r="C35" s="419"/>
      <c r="D35" s="420"/>
      <c r="E35" s="421"/>
      <c r="F35" s="418"/>
      <c r="G35" s="422"/>
      <c r="H35" s="102"/>
      <c r="I35" s="394"/>
      <c r="J35" s="51"/>
      <c r="K35" s="51"/>
      <c r="L35" s="51"/>
    </row>
    <row r="36" spans="1:12" ht="5.5" customHeight="1" x14ac:dyDescent="0.3">
      <c r="A36" s="93"/>
      <c r="B36" s="423"/>
      <c r="C36" s="402"/>
      <c r="D36" s="403"/>
      <c r="E36" s="402"/>
      <c r="F36" s="424"/>
      <c r="G36" s="410"/>
      <c r="H36" s="101"/>
      <c r="I36" s="394"/>
    </row>
    <row r="37" spans="1:12" s="44" customFormat="1" ht="13" x14ac:dyDescent="0.3">
      <c r="A37" s="92" t="s">
        <v>92</v>
      </c>
      <c r="B37" s="425">
        <f>SUM(B20:B36)</f>
        <v>-19707.220000000005</v>
      </c>
      <c r="C37" s="426">
        <f>SUM(C20:C36)</f>
        <v>-34164.28</v>
      </c>
      <c r="D37" s="427">
        <f>SUM(D20:D36)</f>
        <v>-45215.33</v>
      </c>
      <c r="E37" s="428">
        <f>SUM(E20:E35)</f>
        <v>-27299.96</v>
      </c>
      <c r="F37" s="429">
        <f>SUM(F20:F35)</f>
        <v>-37047.359999999993</v>
      </c>
      <c r="G37" s="430">
        <f t="shared" ref="G37" si="5">IF(E37=0,0,F37/E37)</f>
        <v>1.35704814219508</v>
      </c>
      <c r="H37" s="131">
        <f>F37-C37</f>
        <v>-2883.0799999999945</v>
      </c>
      <c r="I37" s="394"/>
      <c r="K37" s="144"/>
    </row>
    <row r="38" spans="1:12" s="44" customFormat="1" ht="5" customHeight="1" x14ac:dyDescent="0.3">
      <c r="A38" s="94"/>
      <c r="B38" s="431"/>
      <c r="C38" s="432"/>
      <c r="D38" s="433"/>
      <c r="E38" s="432"/>
      <c r="F38" s="434"/>
      <c r="G38" s="435"/>
      <c r="H38" s="103"/>
      <c r="I38" s="394"/>
    </row>
    <row r="39" spans="1:12" s="44" customFormat="1" ht="13" x14ac:dyDescent="0.3">
      <c r="A39" s="90" t="s">
        <v>87</v>
      </c>
      <c r="B39" s="436">
        <f>B6+B17+B37</f>
        <v>20048.55</v>
      </c>
      <c r="C39" s="437">
        <f>C6+C17+C37</f>
        <v>8854.25</v>
      </c>
      <c r="D39" s="438">
        <f>D6+D17+D37</f>
        <v>8854.25</v>
      </c>
      <c r="E39" s="428">
        <f>E6+E17+E37</f>
        <v>8854.2400000000052</v>
      </c>
      <c r="F39" s="429">
        <f>F6+F17+F37</f>
        <v>11041.410000000003</v>
      </c>
      <c r="G39" s="430">
        <f t="shared" ref="G39" si="6">IF(E39=0,0,F39/E39)</f>
        <v>1.2470195070384356</v>
      </c>
      <c r="H39" s="131">
        <f>F39-C39</f>
        <v>2187.1600000000035</v>
      </c>
      <c r="I39" s="394" t="s">
        <v>185</v>
      </c>
      <c r="K39" s="144"/>
    </row>
    <row r="40" spans="1:12" s="44" customFormat="1" ht="7" customHeight="1" x14ac:dyDescent="0.3">
      <c r="A40" s="94"/>
      <c r="B40" s="439"/>
      <c r="C40" s="440"/>
      <c r="D40" s="441"/>
      <c r="E40" s="440"/>
      <c r="F40" s="434"/>
      <c r="G40" s="435"/>
      <c r="H40" s="103"/>
      <c r="I40" s="394"/>
    </row>
    <row r="41" spans="1:12" ht="4.5" customHeight="1" x14ac:dyDescent="0.25">
      <c r="A41" s="91"/>
      <c r="B41" s="442"/>
      <c r="C41" s="443"/>
      <c r="D41" s="444"/>
      <c r="E41" s="443"/>
      <c r="F41" s="444"/>
      <c r="G41" s="410"/>
      <c r="H41" s="101"/>
      <c r="I41" s="394"/>
    </row>
    <row r="42" spans="1:12" ht="13" x14ac:dyDescent="0.3">
      <c r="A42" s="133" t="s">
        <v>116</v>
      </c>
      <c r="B42" s="405">
        <v>12652.13</v>
      </c>
      <c r="C42" s="406">
        <v>12652.13</v>
      </c>
      <c r="D42" s="407">
        <v>12652.13</v>
      </c>
      <c r="E42" s="398">
        <v>6800</v>
      </c>
      <c r="F42" s="408">
        <v>6800</v>
      </c>
      <c r="G42" s="430">
        <f t="shared" ref="G42" si="7">IF(E42=0,0,F42/E42)</f>
        <v>1</v>
      </c>
      <c r="H42" s="102">
        <f>F42-C42</f>
        <v>-5852.1299999999992</v>
      </c>
      <c r="I42" s="394"/>
      <c r="K42" s="51"/>
    </row>
    <row r="43" spans="1:12" ht="3.5" customHeight="1" x14ac:dyDescent="0.3">
      <c r="A43" s="95"/>
      <c r="B43" s="405"/>
      <c r="C43" s="445"/>
      <c r="D43" s="434"/>
      <c r="E43" s="445"/>
      <c r="F43" s="444"/>
      <c r="G43" s="410"/>
      <c r="H43" s="101"/>
      <c r="I43" s="394"/>
    </row>
    <row r="44" spans="1:12" ht="13" x14ac:dyDescent="0.3">
      <c r="A44" s="92" t="s">
        <v>89</v>
      </c>
      <c r="B44" s="405"/>
      <c r="C44" s="396">
        <v>77.849999999999994</v>
      </c>
      <c r="D44" s="397">
        <v>77.849999999999994</v>
      </c>
      <c r="E44" s="446">
        <v>39.950000000000003</v>
      </c>
      <c r="F44" s="399">
        <f>'Récapitulatif '!O14</f>
        <v>39.950000000000003</v>
      </c>
      <c r="G44" s="400">
        <f t="shared" ref="G44:G46" si="8">IF(E44=0,0,F44/E44)</f>
        <v>1</v>
      </c>
      <c r="H44" s="102">
        <f>F44-C44</f>
        <v>-37.899999999999991</v>
      </c>
      <c r="I44" s="394" t="s">
        <v>140</v>
      </c>
    </row>
    <row r="45" spans="1:12" ht="13" x14ac:dyDescent="0.3">
      <c r="A45" s="92" t="s">
        <v>90</v>
      </c>
      <c r="B45" s="405"/>
      <c r="C45" s="396">
        <v>-77.849999999999994</v>
      </c>
      <c r="D45" s="397">
        <v>-77.849999999999994</v>
      </c>
      <c r="E45" s="446">
        <v>-39.950000000000003</v>
      </c>
      <c r="F45" s="399">
        <f>-F44</f>
        <v>-39.950000000000003</v>
      </c>
      <c r="G45" s="400">
        <f t="shared" si="8"/>
        <v>1</v>
      </c>
      <c r="H45" s="102">
        <f>F45-C45</f>
        <v>37.899999999999991</v>
      </c>
      <c r="I45" s="394" t="s">
        <v>140</v>
      </c>
    </row>
    <row r="46" spans="1:12" ht="13" x14ac:dyDescent="0.3">
      <c r="A46" s="146" t="s">
        <v>118</v>
      </c>
      <c r="B46" s="405"/>
      <c r="C46" s="396">
        <v>-5852.13</v>
      </c>
      <c r="D46" s="397">
        <v>-5852.13</v>
      </c>
      <c r="E46" s="446">
        <v>0</v>
      </c>
      <c r="F46" s="399">
        <f>-('Récapitulatif '!O15)</f>
        <v>0</v>
      </c>
      <c r="G46" s="400">
        <f t="shared" si="8"/>
        <v>0</v>
      </c>
      <c r="H46" s="102">
        <f>F46-C46</f>
        <v>5852.13</v>
      </c>
      <c r="I46" s="394" t="s">
        <v>257</v>
      </c>
    </row>
    <row r="47" spans="1:12" ht="6" customHeight="1" x14ac:dyDescent="0.3">
      <c r="A47" s="96"/>
      <c r="B47" s="447"/>
      <c r="C47" s="443"/>
      <c r="D47" s="444"/>
      <c r="E47" s="443"/>
      <c r="F47" s="444"/>
      <c r="G47" s="410"/>
      <c r="H47" s="101"/>
      <c r="I47" s="394"/>
    </row>
    <row r="48" spans="1:12" ht="13" x14ac:dyDescent="0.25">
      <c r="A48" s="134" t="s">
        <v>99</v>
      </c>
      <c r="B48" s="405">
        <f>B42</f>
        <v>12652.13</v>
      </c>
      <c r="C48" s="406">
        <f>SUM(C42:C46)</f>
        <v>6799.9999999999991</v>
      </c>
      <c r="D48" s="407">
        <f>SUM(D42:D46)</f>
        <v>6799.9999999999991</v>
      </c>
      <c r="E48" s="406">
        <f>SUM(E42:E46)</f>
        <v>6800</v>
      </c>
      <c r="F48" s="407">
        <f>SUM(F42:F46)</f>
        <v>6800</v>
      </c>
      <c r="G48" s="430">
        <f t="shared" ref="G48" si="9">IF(E48=0,0,F48/E48)</f>
        <v>1</v>
      </c>
      <c r="H48" s="102">
        <f>F48-C48</f>
        <v>0</v>
      </c>
      <c r="I48" s="394" t="s">
        <v>113</v>
      </c>
    </row>
    <row r="49" spans="1:9" ht="17" customHeight="1" x14ac:dyDescent="0.3">
      <c r="A49" s="96"/>
      <c r="B49" s="447"/>
      <c r="C49" s="443"/>
      <c r="D49" s="444"/>
      <c r="E49" s="443"/>
      <c r="F49" s="444"/>
      <c r="G49" s="410"/>
      <c r="H49" s="101"/>
      <c r="I49" s="394"/>
    </row>
    <row r="50" spans="1:9" s="44" customFormat="1" ht="13.5" thickBot="1" x14ac:dyDescent="0.35">
      <c r="A50" s="97" t="s">
        <v>93</v>
      </c>
      <c r="B50" s="448">
        <f>B39+B48</f>
        <v>32700.68</v>
      </c>
      <c r="C50" s="449">
        <f>C39+C48</f>
        <v>15654.25</v>
      </c>
      <c r="D50" s="450">
        <f>D39+D48</f>
        <v>15654.25</v>
      </c>
      <c r="E50" s="451">
        <f>E39+E48</f>
        <v>15654.240000000005</v>
      </c>
      <c r="F50" s="452">
        <f>F39+F48</f>
        <v>17841.410000000003</v>
      </c>
      <c r="G50" s="453">
        <f t="shared" ref="G50" si="10">IF(E50=0,0,F50/E50)</f>
        <v>1.1397174184118806</v>
      </c>
      <c r="H50" s="132">
        <f>F50-C50</f>
        <v>2187.1600000000035</v>
      </c>
      <c r="I50" s="394"/>
    </row>
    <row r="51" spans="1:9" x14ac:dyDescent="0.25">
      <c r="C51" s="51"/>
      <c r="D51" s="51"/>
      <c r="E51" s="51"/>
      <c r="F51" s="51"/>
    </row>
    <row r="53" spans="1:9" ht="13" x14ac:dyDescent="0.3">
      <c r="A53" s="81"/>
      <c r="F53" s="51"/>
    </row>
    <row r="54" spans="1:9" ht="13" x14ac:dyDescent="0.3">
      <c r="A54" s="81"/>
    </row>
  </sheetData>
  <printOptions horizontalCentered="1" verticalCentered="1"/>
  <pageMargins left="0" right="0" top="0" bottom="0.74803149606299213" header="0.31496062992125984" footer="0.31496062992125984"/>
  <pageSetup paperSize="9" scale="6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S63"/>
  <sheetViews>
    <sheetView showGridLines="0" zoomScaleNormal="100" workbookViewId="0">
      <selection activeCell="D4" sqref="D4"/>
    </sheetView>
  </sheetViews>
  <sheetFormatPr baseColWidth="10" defaultRowHeight="12.5" x14ac:dyDescent="0.25"/>
  <cols>
    <col min="1" max="1" width="1.1796875" customWidth="1"/>
    <col min="2" max="2" width="21.1796875" bestFit="1" customWidth="1"/>
    <col min="3" max="3" width="13.453125" bestFit="1" customWidth="1"/>
    <col min="4" max="4" width="13.453125" customWidth="1"/>
    <col min="5" max="5" width="11.54296875" bestFit="1" customWidth="1"/>
    <col min="6" max="6" width="13.453125" bestFit="1" customWidth="1"/>
    <col min="7" max="7" width="9.81640625" bestFit="1" customWidth="1"/>
    <col min="8" max="8" width="13.36328125" bestFit="1" customWidth="1"/>
    <col min="9" max="9" width="22.1796875" customWidth="1"/>
    <col min="10" max="10" width="13.36328125" bestFit="1" customWidth="1"/>
    <col min="11" max="11" width="15" bestFit="1" customWidth="1"/>
    <col min="12" max="12" width="15.36328125" customWidth="1"/>
    <col min="13" max="13" width="13.36328125" bestFit="1" customWidth="1"/>
    <col min="14" max="15" width="10.453125" bestFit="1" customWidth="1"/>
    <col min="16" max="16" width="13.453125" bestFit="1" customWidth="1"/>
  </cols>
  <sheetData>
    <row r="2" spans="2:14" ht="13" x14ac:dyDescent="0.3">
      <c r="B2" s="81"/>
      <c r="C2" s="81"/>
      <c r="D2" s="81"/>
      <c r="E2" s="81"/>
      <c r="F2" s="81"/>
      <c r="G2" s="81"/>
      <c r="I2" s="86"/>
      <c r="J2" s="86"/>
      <c r="K2" s="86"/>
    </row>
    <row r="3" spans="2:14" ht="13" x14ac:dyDescent="0.3">
      <c r="B3" s="81"/>
      <c r="C3" s="81"/>
      <c r="D3" s="81"/>
      <c r="E3" s="81"/>
      <c r="F3" s="81"/>
      <c r="G3" s="81"/>
      <c r="I3" s="124"/>
      <c r="J3" s="125"/>
    </row>
    <row r="4" spans="2:14" ht="13" x14ac:dyDescent="0.3">
      <c r="B4" s="81"/>
      <c r="C4" s="81"/>
      <c r="D4" s="81"/>
      <c r="E4" s="81"/>
      <c r="F4" s="81"/>
      <c r="G4" s="81"/>
      <c r="I4" s="124"/>
      <c r="J4" s="126"/>
      <c r="N4" s="140"/>
    </row>
    <row r="5" spans="2:14" ht="13" x14ac:dyDescent="0.3">
      <c r="B5" s="81"/>
      <c r="C5" s="81"/>
      <c r="D5" s="81"/>
      <c r="E5" s="81"/>
      <c r="F5" s="81"/>
      <c r="G5" s="81"/>
      <c r="I5" s="41"/>
      <c r="J5" s="126"/>
    </row>
    <row r="6" spans="2:14" ht="13" x14ac:dyDescent="0.3">
      <c r="B6" s="81"/>
      <c r="C6" s="81"/>
      <c r="D6" s="81"/>
      <c r="E6" s="81"/>
      <c r="F6" s="81"/>
      <c r="G6" s="81"/>
      <c r="I6" s="41"/>
      <c r="J6" s="127"/>
      <c r="K6" s="51" t="s">
        <v>673</v>
      </c>
      <c r="N6" s="140"/>
    </row>
    <row r="7" spans="2:14" ht="13" x14ac:dyDescent="0.3">
      <c r="B7" s="81"/>
      <c r="C7" s="81"/>
      <c r="D7" s="81"/>
      <c r="E7" s="81"/>
      <c r="F7" s="81"/>
      <c r="G7" s="81"/>
      <c r="I7" s="54"/>
      <c r="J7" s="128"/>
      <c r="K7" s="129" t="s">
        <v>511</v>
      </c>
    </row>
    <row r="8" spans="2:14" ht="13" x14ac:dyDescent="0.3">
      <c r="B8" s="81"/>
      <c r="C8" s="81"/>
      <c r="D8" s="81"/>
      <c r="E8" s="81"/>
      <c r="F8" s="81"/>
      <c r="G8" s="81"/>
      <c r="I8" s="124"/>
      <c r="J8" s="126"/>
      <c r="N8" s="140"/>
    </row>
    <row r="9" spans="2:14" ht="13" x14ac:dyDescent="0.3">
      <c r="B9" s="81"/>
      <c r="C9" s="81"/>
      <c r="D9" s="81"/>
      <c r="E9" s="81"/>
      <c r="F9" s="81"/>
      <c r="G9" s="81"/>
      <c r="I9" s="41"/>
      <c r="J9" s="126"/>
      <c r="K9" t="s">
        <v>754</v>
      </c>
    </row>
    <row r="10" spans="2:14" ht="13" x14ac:dyDescent="0.3">
      <c r="B10" s="81"/>
      <c r="C10" s="81"/>
      <c r="D10" s="81"/>
      <c r="E10" s="81"/>
      <c r="F10" s="81"/>
      <c r="G10" s="81"/>
      <c r="I10" s="41"/>
      <c r="J10" s="127"/>
      <c r="K10" s="144" t="s">
        <v>753</v>
      </c>
      <c r="N10" s="140"/>
    </row>
    <row r="11" spans="2:14" ht="13" x14ac:dyDescent="0.3">
      <c r="B11" s="81"/>
      <c r="C11" s="81"/>
      <c r="D11" s="81"/>
      <c r="E11" s="81"/>
      <c r="F11" s="81"/>
      <c r="G11" s="81"/>
      <c r="I11" s="54"/>
      <c r="J11" s="128"/>
      <c r="K11" s="129"/>
    </row>
    <row r="12" spans="2:14" ht="15.5" x14ac:dyDescent="0.3">
      <c r="B12" s="81"/>
      <c r="C12" s="81"/>
      <c r="D12" s="81"/>
      <c r="E12" s="81"/>
      <c r="F12" s="81"/>
      <c r="G12" s="81"/>
      <c r="I12" s="81"/>
      <c r="J12" s="105"/>
      <c r="K12" s="130"/>
      <c r="L12" s="72"/>
    </row>
    <row r="13" spans="2:14" ht="15.5" x14ac:dyDescent="0.35">
      <c r="B13" s="81"/>
      <c r="C13" s="81"/>
      <c r="D13" s="81"/>
      <c r="E13" s="81"/>
      <c r="F13" s="81"/>
      <c r="G13" s="81"/>
      <c r="I13" s="81"/>
      <c r="J13" s="553"/>
      <c r="K13" s="553"/>
      <c r="L13" s="74"/>
    </row>
    <row r="14" spans="2:14" ht="15.5" x14ac:dyDescent="0.35">
      <c r="B14" s="81"/>
      <c r="C14" s="81"/>
      <c r="D14" s="81"/>
      <c r="E14" s="81"/>
      <c r="F14" s="81"/>
      <c r="G14" s="81"/>
      <c r="I14" s="81"/>
      <c r="J14" s="105"/>
      <c r="K14" s="105"/>
      <c r="L14" s="74"/>
    </row>
    <row r="15" spans="2:14" ht="15.5" x14ac:dyDescent="0.35">
      <c r="B15" s="81"/>
      <c r="C15" s="81"/>
      <c r="D15" s="81"/>
      <c r="E15" s="81"/>
      <c r="F15" s="81"/>
      <c r="G15" s="81"/>
      <c r="I15" s="81"/>
      <c r="J15" s="105"/>
      <c r="K15" s="105"/>
      <c r="L15" s="74"/>
    </row>
    <row r="16" spans="2:14" ht="15.5" x14ac:dyDescent="0.35">
      <c r="B16" s="81"/>
      <c r="C16" s="81"/>
      <c r="D16" s="81"/>
      <c r="E16" s="81"/>
      <c r="F16" s="81"/>
      <c r="G16" s="81"/>
      <c r="I16" s="81"/>
      <c r="J16" s="105"/>
      <c r="K16" s="105"/>
      <c r="L16" s="74"/>
    </row>
    <row r="17" spans="2:15" ht="15.5" x14ac:dyDescent="0.35">
      <c r="B17" s="81"/>
      <c r="C17" s="81"/>
      <c r="D17" s="81"/>
      <c r="E17" s="81"/>
      <c r="F17" s="81"/>
      <c r="G17" s="81"/>
      <c r="I17" s="81"/>
      <c r="J17" s="105"/>
      <c r="K17" s="105"/>
      <c r="L17" s="74"/>
    </row>
    <row r="18" spans="2:15" ht="15.5" x14ac:dyDescent="0.35">
      <c r="B18" s="81"/>
      <c r="C18" s="81"/>
      <c r="D18" s="81"/>
      <c r="E18" s="81"/>
      <c r="F18" s="81"/>
      <c r="G18" s="81"/>
      <c r="K18" s="73"/>
      <c r="L18" s="74"/>
    </row>
    <row r="19" spans="2:15" ht="15.5" x14ac:dyDescent="0.35">
      <c r="B19" s="81"/>
      <c r="C19" s="81"/>
      <c r="D19" s="81"/>
      <c r="E19" s="81"/>
      <c r="F19" s="81"/>
      <c r="G19" s="81"/>
      <c r="K19" s="73"/>
      <c r="L19" s="74"/>
      <c r="O19" s="59"/>
    </row>
    <row r="20" spans="2:15" ht="15.5" x14ac:dyDescent="0.35">
      <c r="B20" s="81"/>
      <c r="C20" s="81"/>
      <c r="D20" s="81"/>
      <c r="E20" s="81"/>
      <c r="F20" s="81"/>
      <c r="G20" s="81"/>
      <c r="K20" s="75"/>
      <c r="L20" s="74"/>
    </row>
    <row r="21" spans="2:15" ht="15.5" x14ac:dyDescent="0.35">
      <c r="B21" s="81"/>
      <c r="C21" s="81"/>
      <c r="D21" s="81"/>
      <c r="E21" s="81"/>
      <c r="F21" s="81"/>
      <c r="G21" s="81"/>
      <c r="K21" s="75"/>
      <c r="L21" s="48"/>
    </row>
    <row r="22" spans="2:15" ht="15.5" x14ac:dyDescent="0.35">
      <c r="B22" s="81"/>
      <c r="C22" s="81"/>
      <c r="D22" s="81"/>
      <c r="E22" s="81"/>
      <c r="F22" s="81"/>
      <c r="G22" s="81"/>
      <c r="K22" s="78"/>
      <c r="L22" s="79"/>
    </row>
    <row r="23" spans="2:15" ht="15.5" x14ac:dyDescent="0.35">
      <c r="B23" s="81"/>
      <c r="C23" s="81"/>
      <c r="D23" s="81"/>
      <c r="E23" s="81"/>
      <c r="F23" s="81"/>
      <c r="G23" s="81"/>
      <c r="K23" s="80"/>
      <c r="L23" s="79"/>
    </row>
    <row r="24" spans="2:15" ht="18" x14ac:dyDescent="0.4">
      <c r="C24" s="59"/>
      <c r="D24" s="59"/>
      <c r="E24" s="59"/>
      <c r="F24" s="59"/>
      <c r="K24" s="76"/>
      <c r="L24" s="77"/>
    </row>
    <row r="25" spans="2:15" ht="18" x14ac:dyDescent="0.4">
      <c r="C25" s="59"/>
      <c r="D25" s="59"/>
      <c r="E25" s="59"/>
      <c r="F25" s="59"/>
      <c r="J25" s="140"/>
      <c r="K25" s="160"/>
      <c r="L25" s="161"/>
    </row>
    <row r="26" spans="2:15" ht="18" x14ac:dyDescent="0.4">
      <c r="C26" s="59"/>
      <c r="D26" s="59"/>
      <c r="E26" s="59"/>
      <c r="F26" s="59"/>
      <c r="J26" s="141"/>
      <c r="K26" s="142"/>
      <c r="L26" s="77"/>
    </row>
    <row r="27" spans="2:15" ht="18" x14ac:dyDescent="0.4">
      <c r="C27" s="59"/>
      <c r="D27" s="59"/>
      <c r="E27" s="59"/>
      <c r="F27" s="59"/>
      <c r="I27" s="54"/>
      <c r="J27" s="48"/>
      <c r="K27" s="143"/>
      <c r="L27" s="77"/>
    </row>
    <row r="28" spans="2:15" ht="27.5" customHeight="1" x14ac:dyDescent="0.4">
      <c r="D28" s="59"/>
      <c r="E28" s="59"/>
      <c r="F28" s="59"/>
      <c r="I28" s="54"/>
      <c r="J28" s="48"/>
      <c r="K28" s="143"/>
      <c r="L28" s="77"/>
    </row>
    <row r="29" spans="2:15" ht="18" x14ac:dyDescent="0.4">
      <c r="D29" s="59"/>
      <c r="E29" s="59"/>
      <c r="F29" s="59"/>
      <c r="I29" s="54"/>
      <c r="J29" s="48"/>
      <c r="K29" s="143"/>
      <c r="L29" s="77"/>
    </row>
    <row r="30" spans="2:15" ht="18" x14ac:dyDescent="0.4">
      <c r="D30" s="59"/>
      <c r="E30" s="59"/>
      <c r="F30" s="59"/>
      <c r="I30" s="54"/>
      <c r="J30" s="48"/>
      <c r="K30" s="143"/>
      <c r="L30" s="77"/>
    </row>
    <row r="31" spans="2:15" ht="18" x14ac:dyDescent="0.4">
      <c r="D31" s="59"/>
      <c r="E31" s="59"/>
      <c r="F31" s="59"/>
      <c r="I31" s="54"/>
      <c r="J31" s="48"/>
      <c r="K31" s="143"/>
      <c r="L31" s="77"/>
    </row>
    <row r="32" spans="2:15" ht="18" x14ac:dyDescent="0.4">
      <c r="C32" s="59"/>
      <c r="D32" s="59"/>
      <c r="E32" s="59"/>
      <c r="F32" s="59"/>
      <c r="I32" s="54"/>
      <c r="J32" s="48"/>
      <c r="K32" s="143"/>
      <c r="L32" s="77"/>
    </row>
    <row r="33" spans="3:19" ht="18" x14ac:dyDescent="0.4">
      <c r="C33" s="59"/>
      <c r="D33" s="59"/>
      <c r="E33" s="59"/>
      <c r="F33" s="59"/>
      <c r="I33" s="54"/>
      <c r="J33" s="48"/>
      <c r="K33" s="143"/>
      <c r="L33" s="77"/>
    </row>
    <row r="34" spans="3:19" ht="18" x14ac:dyDescent="0.4">
      <c r="C34" s="59"/>
      <c r="D34" s="59"/>
      <c r="E34" s="59"/>
      <c r="F34" s="59"/>
      <c r="I34" s="54"/>
      <c r="J34" s="48"/>
      <c r="K34" s="143"/>
      <c r="L34" s="77"/>
    </row>
    <row r="35" spans="3:19" ht="18" x14ac:dyDescent="0.4">
      <c r="C35" s="59"/>
      <c r="D35" s="59"/>
      <c r="E35" s="59"/>
      <c r="F35" s="59"/>
      <c r="I35" s="54"/>
      <c r="J35" s="48"/>
      <c r="K35" s="143"/>
      <c r="L35" s="77"/>
    </row>
    <row r="36" spans="3:19" ht="18" x14ac:dyDescent="0.4">
      <c r="C36" s="59"/>
      <c r="D36" s="59"/>
      <c r="E36" s="59"/>
      <c r="F36" s="59"/>
      <c r="I36" s="54"/>
      <c r="J36" s="48"/>
      <c r="K36" s="143"/>
      <c r="L36" s="77"/>
    </row>
    <row r="37" spans="3:19" ht="18" x14ac:dyDescent="0.4">
      <c r="C37" s="59"/>
      <c r="D37" s="59"/>
      <c r="E37" s="59"/>
      <c r="F37" s="59"/>
      <c r="I37" s="54"/>
      <c r="J37" s="48"/>
      <c r="K37" s="143"/>
      <c r="L37" s="77"/>
    </row>
    <row r="38" spans="3:19" ht="18" x14ac:dyDescent="0.4">
      <c r="C38" s="59"/>
      <c r="D38" s="59"/>
      <c r="E38" s="59"/>
      <c r="F38" s="59"/>
      <c r="H38" s="140"/>
      <c r="I38" s="54"/>
      <c r="J38" s="48"/>
      <c r="K38" s="143"/>
      <c r="L38" s="77"/>
      <c r="M38" s="140"/>
      <c r="O38" s="140"/>
      <c r="P38" s="140"/>
      <c r="Q38" s="140"/>
      <c r="S38" s="140"/>
    </row>
    <row r="39" spans="3:19" ht="18" x14ac:dyDescent="0.4">
      <c r="C39" s="59"/>
      <c r="D39" s="59"/>
      <c r="E39" s="59"/>
      <c r="F39" s="59"/>
      <c r="K39" s="76"/>
      <c r="L39" s="77"/>
    </row>
    <row r="40" spans="3:19" ht="18" x14ac:dyDescent="0.4">
      <c r="C40" s="59"/>
      <c r="D40" s="59"/>
      <c r="E40" s="59"/>
      <c r="F40" s="59"/>
      <c r="K40" s="76"/>
      <c r="L40" s="77"/>
    </row>
    <row r="41" spans="3:19" ht="18" x14ac:dyDescent="0.4">
      <c r="C41" s="59"/>
      <c r="D41" s="59" t="s">
        <v>443</v>
      </c>
      <c r="E41" s="59"/>
      <c r="F41" s="59"/>
      <c r="L41" s="77"/>
    </row>
    <row r="42" spans="3:19" x14ac:dyDescent="0.25">
      <c r="C42" s="48"/>
      <c r="D42" s="48"/>
    </row>
    <row r="43" spans="3:19" x14ac:dyDescent="0.25">
      <c r="C43" s="145"/>
      <c r="D43" s="49"/>
    </row>
    <row r="44" spans="3:19" x14ac:dyDescent="0.25">
      <c r="C44" s="145"/>
      <c r="D44" s="49"/>
    </row>
    <row r="45" spans="3:19" x14ac:dyDescent="0.25">
      <c r="C45" s="145"/>
      <c r="D45" s="49"/>
    </row>
    <row r="46" spans="3:19" x14ac:dyDescent="0.25">
      <c r="C46" s="145"/>
      <c r="D46" s="49"/>
    </row>
    <row r="47" spans="3:19" x14ac:dyDescent="0.25">
      <c r="C47" s="145"/>
      <c r="D47" s="49"/>
    </row>
    <row r="48" spans="3:19" x14ac:dyDescent="0.25">
      <c r="C48" s="145"/>
      <c r="D48" s="49"/>
    </row>
    <row r="49" spans="3:12" ht="13" x14ac:dyDescent="0.3">
      <c r="C49" s="145"/>
      <c r="D49" s="49"/>
      <c r="J49" s="44"/>
    </row>
    <row r="50" spans="3:12" ht="13" x14ac:dyDescent="0.3">
      <c r="C50" s="145"/>
      <c r="D50" s="49"/>
      <c r="I50" s="45"/>
      <c r="J50" s="151"/>
    </row>
    <row r="51" spans="3:12" ht="14" x14ac:dyDescent="0.3">
      <c r="C51" s="145"/>
      <c r="D51" s="49"/>
      <c r="E51" s="49"/>
      <c r="I51" s="45"/>
      <c r="J51" s="151"/>
      <c r="K51" s="148"/>
      <c r="L51" s="148"/>
    </row>
    <row r="52" spans="3:12" ht="14" x14ac:dyDescent="0.25">
      <c r="C52" s="145"/>
      <c r="D52" s="49"/>
      <c r="E52" s="49"/>
      <c r="I52" s="149"/>
      <c r="J52" s="150"/>
      <c r="K52" s="147"/>
      <c r="L52" s="147"/>
    </row>
    <row r="53" spans="3:12" ht="14" x14ac:dyDescent="0.25">
      <c r="C53" s="145"/>
      <c r="D53" s="49"/>
      <c r="E53" s="49"/>
      <c r="I53" s="554"/>
      <c r="J53" s="555"/>
      <c r="K53" s="147"/>
      <c r="L53" s="147"/>
    </row>
    <row r="54" spans="3:12" ht="14" x14ac:dyDescent="0.3">
      <c r="C54" s="145"/>
      <c r="D54" s="49"/>
      <c r="E54" s="49"/>
      <c r="I54" s="148"/>
      <c r="J54" s="155"/>
      <c r="K54" s="147"/>
      <c r="L54" s="147"/>
    </row>
    <row r="55" spans="3:12" ht="13" x14ac:dyDescent="0.3">
      <c r="C55" s="145"/>
      <c r="I55" s="156"/>
      <c r="J55" s="158"/>
    </row>
    <row r="56" spans="3:12" ht="13" x14ac:dyDescent="0.3">
      <c r="C56" s="48"/>
      <c r="I56" s="156"/>
      <c r="J56" s="159"/>
    </row>
    <row r="57" spans="3:12" x14ac:dyDescent="0.25">
      <c r="C57" s="48"/>
      <c r="J57" s="157"/>
    </row>
    <row r="58" spans="3:12" x14ac:dyDescent="0.25">
      <c r="C58" s="48"/>
      <c r="J58" s="154"/>
    </row>
    <row r="59" spans="3:12" x14ac:dyDescent="0.25">
      <c r="C59" s="48"/>
      <c r="J59" s="54"/>
    </row>
    <row r="60" spans="3:12" x14ac:dyDescent="0.25">
      <c r="J60" s="54"/>
    </row>
    <row r="61" spans="3:12" x14ac:dyDescent="0.25">
      <c r="J61" s="54"/>
    </row>
    <row r="62" spans="3:12" x14ac:dyDescent="0.25">
      <c r="J62" s="54"/>
    </row>
    <row r="63" spans="3:12" x14ac:dyDescent="0.25">
      <c r="J63" s="54"/>
    </row>
  </sheetData>
  <mergeCells count="2">
    <mergeCell ref="J13:K13"/>
    <mergeCell ref="I53:J53"/>
  </mergeCells>
  <phoneticPr fontId="2" type="noConversion"/>
  <printOptions horizontalCentered="1" verticalCentered="1"/>
  <pageMargins left="0" right="0" top="0" bottom="0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I1141"/>
  <sheetViews>
    <sheetView showGridLines="0" topLeftCell="A10" workbookViewId="0">
      <selection activeCell="A39" sqref="A39:XFD39"/>
    </sheetView>
  </sheetViews>
  <sheetFormatPr baseColWidth="10" defaultColWidth="10.81640625" defaultRowHeight="10.5" x14ac:dyDescent="0.25"/>
  <cols>
    <col min="1" max="1" width="10.81640625" style="58"/>
    <col min="2" max="2" width="23.90625" style="58" bestFit="1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10">
        <v>44596</v>
      </c>
      <c r="B2" s="56" t="s">
        <v>225</v>
      </c>
      <c r="C2" s="205"/>
      <c r="D2" s="204">
        <v>20</v>
      </c>
      <c r="E2" s="204"/>
      <c r="F2" s="204">
        <f t="shared" ref="F2:F16" si="0">SUM(C2:E2)</f>
        <v>20</v>
      </c>
      <c r="G2" s="211" t="s">
        <v>145</v>
      </c>
    </row>
    <row r="3" spans="1:35" ht="13" x14ac:dyDescent="0.3">
      <c r="A3" s="210">
        <v>44596</v>
      </c>
      <c r="B3" s="56" t="s">
        <v>219</v>
      </c>
      <c r="C3" s="205"/>
      <c r="D3" s="204"/>
      <c r="E3" s="204">
        <v>20</v>
      </c>
      <c r="F3" s="204">
        <f>SUM(C3:E3)</f>
        <v>20</v>
      </c>
      <c r="G3" s="211" t="s">
        <v>145</v>
      </c>
    </row>
    <row r="4" spans="1:35" ht="13" x14ac:dyDescent="0.3">
      <c r="A4" s="210">
        <v>44596</v>
      </c>
      <c r="B4" s="56" t="s">
        <v>218</v>
      </c>
      <c r="C4" s="205"/>
      <c r="D4" s="204"/>
      <c r="E4" s="204">
        <v>35.200000000000003</v>
      </c>
      <c r="F4" s="202">
        <f t="shared" si="0"/>
        <v>35.200000000000003</v>
      </c>
      <c r="G4" s="211" t="s">
        <v>145</v>
      </c>
    </row>
    <row r="5" spans="1:35" ht="13" x14ac:dyDescent="0.3">
      <c r="A5" s="210">
        <v>44596</v>
      </c>
      <c r="B5" s="56" t="s">
        <v>220</v>
      </c>
      <c r="C5" s="205"/>
      <c r="D5" s="204"/>
      <c r="E5" s="204">
        <v>125</v>
      </c>
      <c r="F5" s="202">
        <f t="shared" si="0"/>
        <v>125</v>
      </c>
      <c r="G5" s="211" t="s">
        <v>145</v>
      </c>
    </row>
    <row r="6" spans="1:35" ht="13" x14ac:dyDescent="0.3">
      <c r="A6" s="210">
        <v>44596</v>
      </c>
      <c r="B6" s="56" t="s">
        <v>221</v>
      </c>
      <c r="C6" s="205"/>
      <c r="D6" s="204">
        <v>32</v>
      </c>
      <c r="E6" s="204"/>
      <c r="F6" s="202">
        <f t="shared" si="0"/>
        <v>32</v>
      </c>
      <c r="G6" s="211" t="s">
        <v>145</v>
      </c>
    </row>
    <row r="7" spans="1:35" ht="13" x14ac:dyDescent="0.3">
      <c r="A7" s="210">
        <v>44596</v>
      </c>
      <c r="B7" s="56" t="s">
        <v>222</v>
      </c>
      <c r="C7" s="205"/>
      <c r="D7" s="204">
        <v>36</v>
      </c>
      <c r="E7" s="204"/>
      <c r="F7" s="202">
        <f t="shared" si="0"/>
        <v>36</v>
      </c>
      <c r="G7" s="211" t="s">
        <v>145</v>
      </c>
    </row>
    <row r="8" spans="1:35" ht="13" x14ac:dyDescent="0.3">
      <c r="A8" s="210">
        <v>44596</v>
      </c>
      <c r="B8" s="56" t="s">
        <v>223</v>
      </c>
      <c r="C8" s="205"/>
      <c r="D8" s="204"/>
      <c r="E8" s="204">
        <v>50</v>
      </c>
      <c r="F8" s="202">
        <f t="shared" si="0"/>
        <v>50</v>
      </c>
      <c r="G8" s="211" t="s">
        <v>145</v>
      </c>
    </row>
    <row r="9" spans="1:35" ht="13" x14ac:dyDescent="0.3">
      <c r="A9" s="210">
        <v>44596</v>
      </c>
      <c r="B9" s="56" t="s">
        <v>224</v>
      </c>
      <c r="C9" s="205"/>
      <c r="D9" s="204">
        <v>136.80000000000001</v>
      </c>
      <c r="E9" s="205"/>
      <c r="F9" s="202">
        <f t="shared" si="0"/>
        <v>136.80000000000001</v>
      </c>
      <c r="G9" s="211" t="s">
        <v>145</v>
      </c>
    </row>
    <row r="10" spans="1:35" s="162" customFormat="1" ht="13" x14ac:dyDescent="0.3">
      <c r="A10" s="210">
        <v>44596</v>
      </c>
      <c r="B10" s="56" t="s">
        <v>226</v>
      </c>
      <c r="C10" s="205"/>
      <c r="D10" s="200">
        <v>95</v>
      </c>
      <c r="E10" s="204"/>
      <c r="F10" s="202">
        <f t="shared" si="0"/>
        <v>95</v>
      </c>
      <c r="G10" s="211" t="s">
        <v>145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" customFormat="1" ht="13" x14ac:dyDescent="0.3">
      <c r="A11" s="210">
        <v>44596</v>
      </c>
      <c r="B11" s="56" t="s">
        <v>227</v>
      </c>
      <c r="C11" s="205"/>
      <c r="D11" s="200">
        <v>116.9</v>
      </c>
      <c r="E11" s="204"/>
      <c r="F11" s="202">
        <f t="shared" si="0"/>
        <v>116.9</v>
      </c>
      <c r="G11" s="211" t="s">
        <v>145</v>
      </c>
    </row>
    <row r="12" spans="1:35" s="3" customFormat="1" ht="13" x14ac:dyDescent="0.3">
      <c r="A12" s="210">
        <v>44596</v>
      </c>
      <c r="B12" s="56" t="s">
        <v>228</v>
      </c>
      <c r="C12" s="205"/>
      <c r="D12" s="200"/>
      <c r="E12" s="204">
        <v>79</v>
      </c>
      <c r="F12" s="202">
        <f t="shared" si="0"/>
        <v>79</v>
      </c>
      <c r="G12" s="211" t="s">
        <v>145</v>
      </c>
    </row>
    <row r="13" spans="1:35" s="3" customFormat="1" ht="13" x14ac:dyDescent="0.3">
      <c r="A13" s="210">
        <v>44596</v>
      </c>
      <c r="B13" s="56" t="s">
        <v>229</v>
      </c>
      <c r="C13" s="205"/>
      <c r="D13" s="200"/>
      <c r="E13" s="204">
        <v>52.5</v>
      </c>
      <c r="F13" s="202">
        <f t="shared" si="0"/>
        <v>52.5</v>
      </c>
      <c r="G13" s="211" t="s">
        <v>145</v>
      </c>
    </row>
    <row r="14" spans="1:35" s="3" customFormat="1" ht="13" x14ac:dyDescent="0.3">
      <c r="A14" s="210">
        <v>44596</v>
      </c>
      <c r="B14" s="56" t="s">
        <v>230</v>
      </c>
      <c r="C14" s="205"/>
      <c r="D14" s="200">
        <v>106.5</v>
      </c>
      <c r="E14" s="204"/>
      <c r="F14" s="202">
        <f t="shared" si="0"/>
        <v>106.5</v>
      </c>
      <c r="G14" s="211" t="s">
        <v>145</v>
      </c>
    </row>
    <row r="15" spans="1:35" s="3" customFormat="1" ht="13" x14ac:dyDescent="0.3">
      <c r="A15" s="210">
        <v>44603</v>
      </c>
      <c r="B15" s="56" t="s">
        <v>238</v>
      </c>
      <c r="C15" s="205"/>
      <c r="D15" s="200">
        <v>31</v>
      </c>
      <c r="E15" s="204"/>
      <c r="F15" s="202">
        <f t="shared" si="0"/>
        <v>31</v>
      </c>
      <c r="G15" s="211" t="s">
        <v>145</v>
      </c>
    </row>
    <row r="16" spans="1:35" s="3" customFormat="1" ht="13" x14ac:dyDescent="0.3">
      <c r="A16" s="210">
        <v>44603</v>
      </c>
      <c r="B16" s="56" t="s">
        <v>239</v>
      </c>
      <c r="C16" s="205"/>
      <c r="D16" s="200"/>
      <c r="E16" s="204">
        <v>18</v>
      </c>
      <c r="F16" s="202">
        <f t="shared" si="0"/>
        <v>18</v>
      </c>
      <c r="G16" s="211" t="s">
        <v>145</v>
      </c>
      <c r="I16" s="381"/>
      <c r="J16" s="381"/>
    </row>
    <row r="17" spans="1:7" s="3" customFormat="1" ht="13" x14ac:dyDescent="0.3">
      <c r="A17" s="210">
        <v>44603</v>
      </c>
      <c r="B17" s="56" t="s">
        <v>240</v>
      </c>
      <c r="C17" s="205"/>
      <c r="D17" s="200">
        <v>57</v>
      </c>
      <c r="E17" s="204"/>
      <c r="F17" s="202">
        <f t="shared" ref="F17:F20" si="1">SUM(C17:E17)</f>
        <v>57</v>
      </c>
      <c r="G17" s="211" t="s">
        <v>145</v>
      </c>
    </row>
    <row r="18" spans="1:7" s="3" customFormat="1" ht="13" x14ac:dyDescent="0.3">
      <c r="A18" s="210">
        <v>44603</v>
      </c>
      <c r="B18" s="56" t="s">
        <v>241</v>
      </c>
      <c r="C18" s="205"/>
      <c r="D18" s="200">
        <v>8.5</v>
      </c>
      <c r="E18" s="204"/>
      <c r="F18" s="202">
        <f t="shared" si="1"/>
        <v>8.5</v>
      </c>
      <c r="G18" s="211" t="s">
        <v>145</v>
      </c>
    </row>
    <row r="19" spans="1:7" s="3" customFormat="1" ht="13" x14ac:dyDescent="0.3">
      <c r="A19" s="210">
        <v>44603</v>
      </c>
      <c r="B19" s="56" t="s">
        <v>242</v>
      </c>
      <c r="C19" s="205"/>
      <c r="D19" s="200">
        <v>26.5</v>
      </c>
      <c r="E19" s="204"/>
      <c r="F19" s="202">
        <f t="shared" si="1"/>
        <v>26.5</v>
      </c>
      <c r="G19" s="211" t="s">
        <v>145</v>
      </c>
    </row>
    <row r="20" spans="1:7" s="3" customFormat="1" ht="13" x14ac:dyDescent="0.3">
      <c r="A20" s="210">
        <v>44603</v>
      </c>
      <c r="B20" s="56" t="s">
        <v>243</v>
      </c>
      <c r="C20" s="205"/>
      <c r="D20" s="200"/>
      <c r="E20" s="204">
        <v>1</v>
      </c>
      <c r="F20" s="202">
        <f t="shared" si="1"/>
        <v>1</v>
      </c>
      <c r="G20" s="211" t="s">
        <v>145</v>
      </c>
    </row>
    <row r="21" spans="1:7" s="3" customFormat="1" ht="13" x14ac:dyDescent="0.3">
      <c r="A21" s="210">
        <v>44603</v>
      </c>
      <c r="B21" s="56" t="s">
        <v>244</v>
      </c>
      <c r="C21" s="205"/>
      <c r="D21" s="200"/>
      <c r="E21" s="204">
        <v>141.19999999999999</v>
      </c>
      <c r="F21" s="202">
        <f t="shared" ref="F21:F28" si="2">SUM(C21:E21)</f>
        <v>141.19999999999999</v>
      </c>
      <c r="G21" s="211" t="s">
        <v>145</v>
      </c>
    </row>
    <row r="22" spans="1:7" s="3" customFormat="1" ht="13" x14ac:dyDescent="0.3">
      <c r="A22" s="210">
        <v>44603</v>
      </c>
      <c r="B22" s="56" t="s">
        <v>245</v>
      </c>
      <c r="C22" s="205"/>
      <c r="D22" s="200"/>
      <c r="E22" s="204">
        <v>30</v>
      </c>
      <c r="F22" s="202">
        <f t="shared" si="2"/>
        <v>30</v>
      </c>
      <c r="G22" s="211" t="s">
        <v>145</v>
      </c>
    </row>
    <row r="23" spans="1:7" s="3" customFormat="1" ht="13" x14ac:dyDescent="0.3">
      <c r="A23" s="210">
        <v>44603</v>
      </c>
      <c r="B23" s="56" t="s">
        <v>246</v>
      </c>
      <c r="C23" s="205"/>
      <c r="D23" s="200"/>
      <c r="E23" s="204">
        <v>25</v>
      </c>
      <c r="F23" s="202">
        <f t="shared" si="2"/>
        <v>25</v>
      </c>
      <c r="G23" s="211" t="s">
        <v>145</v>
      </c>
    </row>
    <row r="24" spans="1:7" s="3" customFormat="1" ht="13" x14ac:dyDescent="0.3">
      <c r="A24" s="210">
        <v>44603</v>
      </c>
      <c r="B24" s="56" t="s">
        <v>247</v>
      </c>
      <c r="C24" s="205"/>
      <c r="D24" s="200">
        <v>108</v>
      </c>
      <c r="E24" s="204"/>
      <c r="F24" s="202">
        <f t="shared" si="2"/>
        <v>108</v>
      </c>
      <c r="G24" s="211" t="s">
        <v>145</v>
      </c>
    </row>
    <row r="25" spans="1:7" s="3" customFormat="1" ht="13" x14ac:dyDescent="0.3">
      <c r="A25" s="210">
        <v>44603</v>
      </c>
      <c r="B25" s="56" t="s">
        <v>248</v>
      </c>
      <c r="C25" s="205"/>
      <c r="D25" s="200"/>
      <c r="E25" s="204">
        <v>19.5</v>
      </c>
      <c r="F25" s="202">
        <f t="shared" si="2"/>
        <v>19.5</v>
      </c>
      <c r="G25" s="211" t="s">
        <v>145</v>
      </c>
    </row>
    <row r="26" spans="1:7" s="3" customFormat="1" ht="13" x14ac:dyDescent="0.3">
      <c r="A26" s="273">
        <v>44614</v>
      </c>
      <c r="B26" s="231" t="s">
        <v>259</v>
      </c>
      <c r="C26" s="205"/>
      <c r="D26" s="200"/>
      <c r="E26" s="204">
        <v>12.2</v>
      </c>
      <c r="F26" s="202">
        <f t="shared" si="2"/>
        <v>12.2</v>
      </c>
      <c r="G26" s="211" t="s">
        <v>145</v>
      </c>
    </row>
    <row r="27" spans="1:7" s="3" customFormat="1" ht="13" x14ac:dyDescent="0.3">
      <c r="A27" s="273">
        <v>44614</v>
      </c>
      <c r="B27" s="231" t="s">
        <v>260</v>
      </c>
      <c r="C27" s="205"/>
      <c r="D27" s="200"/>
      <c r="E27" s="204">
        <v>15</v>
      </c>
      <c r="F27" s="202">
        <f t="shared" si="2"/>
        <v>15</v>
      </c>
      <c r="G27" s="211" t="s">
        <v>145</v>
      </c>
    </row>
    <row r="28" spans="1:7" s="3" customFormat="1" ht="13" x14ac:dyDescent="0.3">
      <c r="A28" s="273">
        <v>44614</v>
      </c>
      <c r="B28" s="231" t="s">
        <v>261</v>
      </c>
      <c r="C28" s="205"/>
      <c r="D28" s="200">
        <v>110.5</v>
      </c>
      <c r="E28" s="204"/>
      <c r="F28" s="202">
        <f t="shared" si="2"/>
        <v>110.5</v>
      </c>
      <c r="G28" s="211" t="s">
        <v>145</v>
      </c>
    </row>
    <row r="29" spans="1:7" s="3" customFormat="1" ht="13" x14ac:dyDescent="0.3">
      <c r="A29" s="273">
        <v>44614</v>
      </c>
      <c r="B29" s="231" t="s">
        <v>262</v>
      </c>
      <c r="C29" s="205"/>
      <c r="D29" s="200"/>
      <c r="E29" s="204">
        <v>12</v>
      </c>
      <c r="F29" s="202">
        <f t="shared" ref="F29:F38" si="3">SUM(C29:E29)</f>
        <v>12</v>
      </c>
      <c r="G29" s="211" t="s">
        <v>145</v>
      </c>
    </row>
    <row r="30" spans="1:7" s="3" customFormat="1" ht="13" x14ac:dyDescent="0.3">
      <c r="A30" s="210">
        <v>44615</v>
      </c>
      <c r="B30" s="56" t="s">
        <v>271</v>
      </c>
      <c r="C30" s="205"/>
      <c r="D30" s="200"/>
      <c r="E30" s="204">
        <v>4</v>
      </c>
      <c r="F30" s="202">
        <f t="shared" si="3"/>
        <v>4</v>
      </c>
      <c r="G30" s="211" t="s">
        <v>145</v>
      </c>
    </row>
    <row r="31" spans="1:7" s="3" customFormat="1" ht="13" x14ac:dyDescent="0.3">
      <c r="A31" s="210">
        <v>44615</v>
      </c>
      <c r="B31" s="56" t="s">
        <v>272</v>
      </c>
      <c r="C31" s="205"/>
      <c r="D31" s="200">
        <v>17</v>
      </c>
      <c r="E31" s="204"/>
      <c r="F31" s="202">
        <f t="shared" si="3"/>
        <v>17</v>
      </c>
      <c r="G31" s="211" t="s">
        <v>145</v>
      </c>
    </row>
    <row r="32" spans="1:7" s="3" customFormat="1" ht="13" x14ac:dyDescent="0.3">
      <c r="A32" s="210">
        <v>44615</v>
      </c>
      <c r="B32" s="56" t="s">
        <v>272</v>
      </c>
      <c r="C32" s="205"/>
      <c r="D32" s="200"/>
      <c r="E32" s="204">
        <v>3</v>
      </c>
      <c r="F32" s="202">
        <f t="shared" si="3"/>
        <v>3</v>
      </c>
      <c r="G32" s="211" t="s">
        <v>145</v>
      </c>
    </row>
    <row r="33" spans="1:7" s="3" customFormat="1" ht="13" x14ac:dyDescent="0.3">
      <c r="A33" s="210">
        <v>44617</v>
      </c>
      <c r="B33" s="56" t="s">
        <v>273</v>
      </c>
      <c r="C33" s="205"/>
      <c r="D33" s="200"/>
      <c r="E33" s="204">
        <v>37.5</v>
      </c>
      <c r="F33" s="202">
        <f t="shared" si="3"/>
        <v>37.5</v>
      </c>
      <c r="G33" s="211" t="s">
        <v>145</v>
      </c>
    </row>
    <row r="34" spans="1:7" s="3" customFormat="1" ht="13" x14ac:dyDescent="0.3">
      <c r="A34" s="210">
        <v>44617</v>
      </c>
      <c r="B34" s="56" t="s">
        <v>274</v>
      </c>
      <c r="C34" s="205"/>
      <c r="D34" s="200">
        <v>409.7</v>
      </c>
      <c r="E34" s="204"/>
      <c r="F34" s="202">
        <f t="shared" si="3"/>
        <v>409.7</v>
      </c>
      <c r="G34" s="211" t="s">
        <v>145</v>
      </c>
    </row>
    <row r="35" spans="1:7" s="3" customFormat="1" ht="13" x14ac:dyDescent="0.3">
      <c r="A35" s="210">
        <v>44617</v>
      </c>
      <c r="B35" s="56" t="s">
        <v>275</v>
      </c>
      <c r="C35" s="205"/>
      <c r="D35" s="200"/>
      <c r="E35" s="204">
        <v>29</v>
      </c>
      <c r="F35" s="202">
        <f t="shared" si="3"/>
        <v>29</v>
      </c>
      <c r="G35" s="211" t="s">
        <v>145</v>
      </c>
    </row>
    <row r="36" spans="1:7" s="3" customFormat="1" ht="13" x14ac:dyDescent="0.3">
      <c r="A36" s="210">
        <v>44617</v>
      </c>
      <c r="B36" s="56" t="s">
        <v>276</v>
      </c>
      <c r="C36" s="205"/>
      <c r="D36" s="200"/>
      <c r="E36" s="204">
        <v>26.5</v>
      </c>
      <c r="F36" s="202">
        <f t="shared" si="3"/>
        <v>26.5</v>
      </c>
      <c r="G36" s="211" t="s">
        <v>145</v>
      </c>
    </row>
    <row r="37" spans="1:7" s="3" customFormat="1" ht="13" x14ac:dyDescent="0.3">
      <c r="A37" s="210">
        <v>44618</v>
      </c>
      <c r="B37" s="56" t="s">
        <v>279</v>
      </c>
      <c r="C37" s="205"/>
      <c r="D37" s="200"/>
      <c r="E37" s="204">
        <v>2.5</v>
      </c>
      <c r="F37" s="202">
        <f t="shared" si="3"/>
        <v>2.5</v>
      </c>
      <c r="G37" s="211" t="s">
        <v>145</v>
      </c>
    </row>
    <row r="38" spans="1:7" s="3" customFormat="1" ht="13" x14ac:dyDescent="0.3">
      <c r="A38" s="210">
        <v>44620</v>
      </c>
      <c r="B38" s="56" t="s">
        <v>215</v>
      </c>
      <c r="C38" s="205"/>
      <c r="D38" s="200"/>
      <c r="E38" s="204">
        <v>48</v>
      </c>
      <c r="F38" s="202">
        <f t="shared" si="3"/>
        <v>48</v>
      </c>
      <c r="G38" s="211" t="s">
        <v>145</v>
      </c>
    </row>
    <row r="39" spans="1:7" s="3" customFormat="1" ht="13" thickBot="1" x14ac:dyDescent="0.3">
      <c r="A39" s="212"/>
      <c r="B39" s="213" t="s">
        <v>0</v>
      </c>
      <c r="C39" s="214">
        <f>SUM(C2:C38)</f>
        <v>0</v>
      </c>
      <c r="D39" s="214">
        <f>SUM(D2:D38)</f>
        <v>1311.4</v>
      </c>
      <c r="E39" s="214">
        <f>SUM(E2:E38)</f>
        <v>786.1</v>
      </c>
      <c r="F39" s="215">
        <f>SUM(C39:E39)</f>
        <v>2097.5</v>
      </c>
      <c r="G39" s="216"/>
    </row>
    <row r="40" spans="1:7" s="3" customFormat="1" ht="11" thickTop="1" x14ac:dyDescent="0.25">
      <c r="D40" s="1"/>
      <c r="E40" s="1"/>
    </row>
    <row r="41" spans="1:7" s="3" customFormat="1" x14ac:dyDescent="0.25">
      <c r="D41" s="1"/>
      <c r="E41" s="1"/>
    </row>
    <row r="42" spans="1:7" s="3" customFormat="1" x14ac:dyDescent="0.25">
      <c r="D42" s="1"/>
      <c r="E42" s="1"/>
    </row>
    <row r="43" spans="1:7" s="3" customFormat="1" x14ac:dyDescent="0.25">
      <c r="D43" s="1"/>
      <c r="E43" s="1"/>
    </row>
    <row r="44" spans="1:7" s="3" customFormat="1" x14ac:dyDescent="0.25">
      <c r="D44" s="1"/>
      <c r="E44" s="1"/>
    </row>
    <row r="45" spans="1:7" s="3" customFormat="1" x14ac:dyDescent="0.25">
      <c r="D45" s="1"/>
      <c r="E45" s="1"/>
    </row>
    <row r="46" spans="1:7" s="3" customFormat="1" x14ac:dyDescent="0.25">
      <c r="D46" s="1"/>
      <c r="E46" s="1"/>
    </row>
    <row r="47" spans="1:7" s="3" customFormat="1" x14ac:dyDescent="0.25">
      <c r="D47" s="1"/>
      <c r="E47" s="1"/>
    </row>
    <row r="48" spans="1:7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  <row r="1133" spans="4:5" s="3" customFormat="1" x14ac:dyDescent="0.25">
      <c r="D1133" s="1"/>
      <c r="E1133" s="1"/>
    </row>
    <row r="1134" spans="4:5" s="3" customFormat="1" x14ac:dyDescent="0.25">
      <c r="D1134" s="1"/>
      <c r="E1134" s="1"/>
    </row>
    <row r="1135" spans="4:5" s="3" customFormat="1" x14ac:dyDescent="0.25">
      <c r="D1135" s="1"/>
      <c r="E1135" s="1"/>
    </row>
    <row r="1136" spans="4:5" s="3" customFormat="1" x14ac:dyDescent="0.25">
      <c r="D1136" s="1"/>
      <c r="E1136" s="1"/>
    </row>
    <row r="1137" spans="4:5" s="3" customFormat="1" x14ac:dyDescent="0.25">
      <c r="D1137" s="1"/>
      <c r="E1137" s="1"/>
    </row>
    <row r="1138" spans="4:5" s="3" customFormat="1" x14ac:dyDescent="0.25">
      <c r="D1138" s="1"/>
      <c r="E1138" s="1"/>
    </row>
    <row r="1139" spans="4:5" s="3" customFormat="1" x14ac:dyDescent="0.25">
      <c r="D1139" s="1"/>
      <c r="E1139" s="1"/>
    </row>
    <row r="1140" spans="4:5" s="3" customFormat="1" x14ac:dyDescent="0.25">
      <c r="D1140" s="1"/>
      <c r="E1140" s="1"/>
    </row>
    <row r="1141" spans="4:5" s="3" customFormat="1" x14ac:dyDescent="0.25">
      <c r="D1141" s="1"/>
      <c r="E1141" s="1"/>
    </row>
  </sheetData>
  <pageMargins left="0.7" right="0.7" top="0.75" bottom="0.75" header="0.3" footer="0.3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A3478-8974-4051-BCC2-FFFC1097D413}">
  <dimension ref="B1:T55"/>
  <sheetViews>
    <sheetView showGridLines="0" zoomScaleNormal="100" workbookViewId="0">
      <selection activeCell="F15" sqref="F15"/>
    </sheetView>
  </sheetViews>
  <sheetFormatPr baseColWidth="10" defaultRowHeight="12.5" x14ac:dyDescent="0.25"/>
  <cols>
    <col min="1" max="1" width="1.1796875" customWidth="1"/>
    <col min="2" max="2" width="21.1796875" bestFit="1" customWidth="1"/>
    <col min="3" max="3" width="13.453125" bestFit="1" customWidth="1"/>
    <col min="4" max="4" width="13.453125" customWidth="1"/>
    <col min="5" max="5" width="12.90625" customWidth="1"/>
    <col min="6" max="6" width="13.453125" bestFit="1" customWidth="1"/>
    <col min="7" max="7" width="12.08984375" customWidth="1"/>
    <col min="8" max="8" width="12" customWidth="1"/>
    <col min="9" max="9" width="13.36328125" bestFit="1" customWidth="1"/>
    <col min="10" max="10" width="22.1796875" customWidth="1"/>
    <col min="11" max="11" width="13.36328125" bestFit="1" customWidth="1"/>
    <col min="12" max="12" width="15" bestFit="1" customWidth="1"/>
    <col min="13" max="13" width="15.36328125" customWidth="1"/>
    <col min="14" max="14" width="13.36328125" bestFit="1" customWidth="1"/>
    <col min="15" max="16" width="10.453125" bestFit="1" customWidth="1"/>
    <col min="17" max="17" width="13.453125" bestFit="1" customWidth="1"/>
  </cols>
  <sheetData>
    <row r="1" spans="2:16" ht="13" thickBot="1" x14ac:dyDescent="0.3"/>
    <row r="2" spans="2:16" ht="26.5" thickBot="1" x14ac:dyDescent="0.3">
      <c r="B2" s="488"/>
      <c r="C2" s="489" t="s">
        <v>78</v>
      </c>
      <c r="D2" s="489" t="s">
        <v>79</v>
      </c>
      <c r="E2" s="489" t="s">
        <v>78</v>
      </c>
      <c r="F2" s="489" t="s">
        <v>79</v>
      </c>
      <c r="G2" s="508" t="s">
        <v>425</v>
      </c>
      <c r="H2" s="490" t="s">
        <v>123</v>
      </c>
      <c r="J2" s="70" t="s">
        <v>83</v>
      </c>
      <c r="K2" s="82" t="s">
        <v>124</v>
      </c>
      <c r="L2" s="83">
        <v>2022</v>
      </c>
    </row>
    <row r="3" spans="2:16" ht="14" x14ac:dyDescent="0.3">
      <c r="B3" s="491"/>
      <c r="C3" s="492">
        <v>2021</v>
      </c>
      <c r="D3" s="492">
        <v>2021</v>
      </c>
      <c r="E3" s="492">
        <v>2022</v>
      </c>
      <c r="F3" s="492">
        <v>2022</v>
      </c>
      <c r="G3" s="492" t="s">
        <v>412</v>
      </c>
      <c r="H3" s="492" t="s">
        <v>124</v>
      </c>
      <c r="J3" s="63" t="s">
        <v>86</v>
      </c>
      <c r="K3" s="64">
        <f>'BUDGET 2022'!E39</f>
        <v>8854.2400000000052</v>
      </c>
      <c r="L3" s="65">
        <f>'Récapitulatif '!N32</f>
        <v>11041.410000000007</v>
      </c>
    </row>
    <row r="4" spans="2:16" ht="14.5" thickBot="1" x14ac:dyDescent="0.35">
      <c r="B4" s="493" t="s">
        <v>66</v>
      </c>
      <c r="C4" s="494">
        <f>D4</f>
        <v>765</v>
      </c>
      <c r="D4" s="494">
        <v>765</v>
      </c>
      <c r="E4" s="495">
        <f>F4</f>
        <v>758.92000000000007</v>
      </c>
      <c r="F4" s="495">
        <f>'Récapitulatif '!C10</f>
        <v>758.92000000000007</v>
      </c>
      <c r="G4" s="509">
        <v>1500</v>
      </c>
      <c r="H4" s="496">
        <f>'BUDGET 2022'!E10/12</f>
        <v>1500</v>
      </c>
      <c r="J4" s="67" t="s">
        <v>81</v>
      </c>
      <c r="K4" s="68">
        <f>'BUDGET 2022'!C48</f>
        <v>6799.9999999999991</v>
      </c>
      <c r="L4" s="69">
        <f>'Récapitulatif '!E35</f>
        <v>6800</v>
      </c>
      <c r="O4" s="140"/>
    </row>
    <row r="5" spans="2:16" ht="14.5" thickBot="1" x14ac:dyDescent="0.35">
      <c r="B5" s="493" t="s">
        <v>67</v>
      </c>
      <c r="C5" s="495">
        <f>D4+D5</f>
        <v>2216.19</v>
      </c>
      <c r="D5" s="495">
        <v>1451.19</v>
      </c>
      <c r="E5" s="495">
        <f>E4+F5</f>
        <v>1768.2400000000002</v>
      </c>
      <c r="F5" s="495">
        <f>'Récapitulatif '!D10</f>
        <v>1009.32</v>
      </c>
      <c r="G5" s="509">
        <v>1500</v>
      </c>
      <c r="H5" s="496">
        <f>H4+G5</f>
        <v>3000</v>
      </c>
      <c r="J5" s="70" t="s">
        <v>82</v>
      </c>
      <c r="K5" s="71">
        <f>SUM(K3:K4)</f>
        <v>15654.240000000005</v>
      </c>
      <c r="L5" s="71">
        <f>SUM(L3:L4)</f>
        <v>17841.410000000007</v>
      </c>
    </row>
    <row r="6" spans="2:16" ht="14.5" thickBot="1" x14ac:dyDescent="0.35">
      <c r="B6" s="493" t="s">
        <v>68</v>
      </c>
      <c r="C6" s="495">
        <f>C5+D6</f>
        <v>4449.71</v>
      </c>
      <c r="D6" s="495">
        <v>2233.52</v>
      </c>
      <c r="E6" s="495">
        <f t="shared" ref="E6:E15" si="0">E5+F6</f>
        <v>5387.380000000001</v>
      </c>
      <c r="F6" s="495">
        <f>'Récapitulatif '!E10</f>
        <v>3619.1400000000003</v>
      </c>
      <c r="G6" s="509">
        <v>1500</v>
      </c>
      <c r="H6" s="496">
        <f t="shared" ref="H6:H15" si="1">H5+G6</f>
        <v>4500</v>
      </c>
      <c r="J6" s="70" t="s">
        <v>343</v>
      </c>
      <c r="K6" s="71">
        <f>K5</f>
        <v>15654.240000000005</v>
      </c>
      <c r="L6" s="71">
        <f>L5+'Récapitulatif '!N52-'Récapitulatif '!C47</f>
        <v>18130.710000000003</v>
      </c>
      <c r="O6" s="140"/>
    </row>
    <row r="7" spans="2:16" ht="14.5" thickBot="1" x14ac:dyDescent="0.35">
      <c r="B7" s="493" t="s">
        <v>69</v>
      </c>
      <c r="C7" s="495">
        <f>C6+D7</f>
        <v>6512.23</v>
      </c>
      <c r="D7" s="495">
        <v>2062.52</v>
      </c>
      <c r="E7" s="495">
        <f t="shared" si="0"/>
        <v>7057.920000000001</v>
      </c>
      <c r="F7" s="495">
        <f>'Récapitulatif '!F10</f>
        <v>1670.54</v>
      </c>
      <c r="G7" s="509">
        <v>1500</v>
      </c>
      <c r="H7" s="496">
        <f t="shared" si="1"/>
        <v>6000</v>
      </c>
      <c r="J7" s="66" t="s">
        <v>84</v>
      </c>
      <c r="K7" s="556">
        <f>L6-K6</f>
        <v>2476.4699999999975</v>
      </c>
      <c r="L7" s="557"/>
    </row>
    <row r="8" spans="2:16" ht="15.5" x14ac:dyDescent="0.3">
      <c r="B8" s="493" t="s">
        <v>70</v>
      </c>
      <c r="C8" s="495">
        <f t="shared" ref="C8:C15" si="2">C7+D8</f>
        <v>7997.5099999999993</v>
      </c>
      <c r="D8" s="495">
        <v>1485.28</v>
      </c>
      <c r="E8" s="495">
        <f t="shared" si="0"/>
        <v>9208.5600000000013</v>
      </c>
      <c r="F8" s="495">
        <f>'Récapitulatif '!G10</f>
        <v>2150.64</v>
      </c>
      <c r="G8" s="509">
        <v>1500</v>
      </c>
      <c r="H8" s="496">
        <f t="shared" si="1"/>
        <v>7500</v>
      </c>
      <c r="J8" s="81"/>
      <c r="K8" s="105"/>
      <c r="L8" s="130"/>
      <c r="M8" s="72"/>
    </row>
    <row r="9" spans="2:16" ht="15.5" x14ac:dyDescent="0.35">
      <c r="B9" s="493" t="s">
        <v>71</v>
      </c>
      <c r="C9" s="495">
        <f t="shared" si="2"/>
        <v>9585.7999999999993</v>
      </c>
      <c r="D9" s="495">
        <v>1588.2900000000002</v>
      </c>
      <c r="E9" s="495">
        <f t="shared" si="0"/>
        <v>10573.79</v>
      </c>
      <c r="F9" s="495">
        <f>'Récapitulatif '!H10</f>
        <v>1365.23</v>
      </c>
      <c r="G9" s="509">
        <v>1500</v>
      </c>
      <c r="H9" s="496">
        <f t="shared" si="1"/>
        <v>9000</v>
      </c>
      <c r="J9" s="81"/>
      <c r="K9" s="553"/>
      <c r="L9" s="553"/>
      <c r="M9" s="74"/>
    </row>
    <row r="10" spans="2:16" ht="15.5" x14ac:dyDescent="0.35">
      <c r="B10" s="493" t="s">
        <v>72</v>
      </c>
      <c r="C10" s="495">
        <f t="shared" si="2"/>
        <v>11521.71</v>
      </c>
      <c r="D10" s="495">
        <v>1935.9099999999999</v>
      </c>
      <c r="E10" s="495">
        <f t="shared" si="0"/>
        <v>12269.880000000001</v>
      </c>
      <c r="F10" s="495">
        <f>'Récapitulatif '!I10</f>
        <v>1696.09</v>
      </c>
      <c r="G10" s="509">
        <v>1500</v>
      </c>
      <c r="H10" s="496">
        <f t="shared" si="1"/>
        <v>10500</v>
      </c>
      <c r="L10" s="73"/>
      <c r="M10" s="74"/>
    </row>
    <row r="11" spans="2:16" ht="15.5" x14ac:dyDescent="0.35">
      <c r="B11" s="493" t="s">
        <v>73</v>
      </c>
      <c r="C11" s="495">
        <f t="shared" si="2"/>
        <v>13060.619999999999</v>
      </c>
      <c r="D11" s="495">
        <v>1538.91</v>
      </c>
      <c r="E11" s="495">
        <f t="shared" si="0"/>
        <v>13879.53</v>
      </c>
      <c r="F11" s="495">
        <f>'Récapitulatif '!J10</f>
        <v>1609.6499999999999</v>
      </c>
      <c r="G11" s="509">
        <v>1500</v>
      </c>
      <c r="H11" s="496">
        <f t="shared" si="1"/>
        <v>12000</v>
      </c>
      <c r="L11" s="73"/>
      <c r="M11" s="74"/>
      <c r="P11" s="59"/>
    </row>
    <row r="12" spans="2:16" ht="15.5" x14ac:dyDescent="0.35">
      <c r="B12" s="493" t="s">
        <v>74</v>
      </c>
      <c r="C12" s="495">
        <f t="shared" si="2"/>
        <v>14759.91</v>
      </c>
      <c r="D12" s="495">
        <v>1699.29</v>
      </c>
      <c r="E12" s="495">
        <f t="shared" si="0"/>
        <v>15531.1</v>
      </c>
      <c r="F12" s="495">
        <f>'Récapitulatif '!K10</f>
        <v>1651.57</v>
      </c>
      <c r="G12" s="509">
        <v>1500</v>
      </c>
      <c r="H12" s="496">
        <f t="shared" si="1"/>
        <v>13500</v>
      </c>
      <c r="L12" s="75"/>
      <c r="M12" s="74"/>
    </row>
    <row r="13" spans="2:16" ht="15.5" x14ac:dyDescent="0.35">
      <c r="B13" s="493" t="s">
        <v>75</v>
      </c>
      <c r="C13" s="495">
        <f t="shared" si="2"/>
        <v>15895.29</v>
      </c>
      <c r="D13" s="495">
        <v>1135.3800000000001</v>
      </c>
      <c r="E13" s="495">
        <f t="shared" si="0"/>
        <v>17334.510000000002</v>
      </c>
      <c r="F13" s="495">
        <f>'Récapitulatif '!L10</f>
        <v>1803.41</v>
      </c>
      <c r="G13" s="509">
        <v>1500</v>
      </c>
      <c r="H13" s="496">
        <f t="shared" si="1"/>
        <v>15000</v>
      </c>
      <c r="L13" s="75"/>
      <c r="M13" s="48"/>
    </row>
    <row r="14" spans="2:16" ht="15.5" x14ac:dyDescent="0.35">
      <c r="B14" s="493" t="s">
        <v>76</v>
      </c>
      <c r="C14" s="495">
        <f t="shared" si="2"/>
        <v>17808.45</v>
      </c>
      <c r="D14" s="495">
        <v>1913.16</v>
      </c>
      <c r="E14" s="495">
        <f t="shared" si="0"/>
        <v>19121.410000000003</v>
      </c>
      <c r="F14" s="495">
        <f>'Récapitulatif '!M10</f>
        <v>1786.8999999999999</v>
      </c>
      <c r="G14" s="509">
        <v>1500</v>
      </c>
      <c r="H14" s="496">
        <f t="shared" si="1"/>
        <v>16500</v>
      </c>
      <c r="L14" s="78"/>
      <c r="M14" s="79"/>
    </row>
    <row r="15" spans="2:16" ht="16" thickBot="1" x14ac:dyDescent="0.4">
      <c r="B15" s="497" t="s">
        <v>77</v>
      </c>
      <c r="C15" s="498">
        <f t="shared" si="2"/>
        <v>19233.2</v>
      </c>
      <c r="D15" s="498">
        <v>1424.7500000000002</v>
      </c>
      <c r="E15" s="498">
        <f t="shared" si="0"/>
        <v>21280.660000000003</v>
      </c>
      <c r="F15" s="498">
        <f>'Récapitulatif '!N10</f>
        <v>2159.25</v>
      </c>
      <c r="G15" s="510">
        <v>1500</v>
      </c>
      <c r="H15" s="499">
        <f t="shared" si="1"/>
        <v>18000</v>
      </c>
      <c r="L15" s="80"/>
      <c r="M15" s="79"/>
    </row>
    <row r="16" spans="2:16" ht="18" x14ac:dyDescent="0.4">
      <c r="C16" s="59"/>
      <c r="D16" s="59"/>
      <c r="E16" s="59">
        <f>SUM(F4:F15)-H15</f>
        <v>3280.6600000000035</v>
      </c>
      <c r="F16" s="59"/>
      <c r="G16" s="59"/>
      <c r="L16" s="76"/>
      <c r="M16" s="77"/>
    </row>
    <row r="17" spans="2:20" ht="18" x14ac:dyDescent="0.4">
      <c r="C17" s="59"/>
      <c r="D17" s="59"/>
      <c r="E17" s="59"/>
      <c r="F17" s="59"/>
      <c r="G17" s="59"/>
      <c r="K17" s="140"/>
      <c r="L17" s="160"/>
      <c r="M17" s="161"/>
    </row>
    <row r="18" spans="2:20" ht="25.75" customHeight="1" x14ac:dyDescent="0.4">
      <c r="B18" s="500" t="s">
        <v>32</v>
      </c>
      <c r="C18" s="501">
        <v>2021</v>
      </c>
      <c r="D18" s="501">
        <v>2022</v>
      </c>
      <c r="E18" s="501" t="s">
        <v>412</v>
      </c>
      <c r="F18" s="59"/>
      <c r="G18" s="59"/>
      <c r="K18" s="141"/>
      <c r="L18" s="142"/>
      <c r="M18" s="77"/>
    </row>
    <row r="19" spans="2:20" ht="18" x14ac:dyDescent="0.4">
      <c r="B19" s="485" t="s">
        <v>66</v>
      </c>
      <c r="C19" s="486">
        <v>136</v>
      </c>
      <c r="D19" s="487">
        <f>'Récapitulatif '!C49</f>
        <v>1463.5</v>
      </c>
      <c r="E19" s="487">
        <f>'BUDGET 2022'!$E$12/12</f>
        <v>758.33333333333337</v>
      </c>
      <c r="F19" s="59"/>
      <c r="G19" s="59"/>
      <c r="J19" s="54"/>
      <c r="K19" s="48"/>
      <c r="L19" s="143"/>
      <c r="M19" s="77"/>
    </row>
    <row r="20" spans="2:20" ht="17.399999999999999" customHeight="1" x14ac:dyDescent="0.4">
      <c r="B20" s="485" t="s">
        <v>67</v>
      </c>
      <c r="C20" s="486">
        <v>536</v>
      </c>
      <c r="D20" s="487">
        <f>'Récapitulatif '!D49</f>
        <v>2097.5</v>
      </c>
      <c r="E20" s="487">
        <f>'BUDGET 2022'!$E$12/12</f>
        <v>758.33333333333337</v>
      </c>
      <c r="F20" s="59"/>
      <c r="G20" s="59"/>
      <c r="J20" s="54"/>
      <c r="K20" s="48"/>
      <c r="L20" s="143"/>
      <c r="M20" s="77"/>
    </row>
    <row r="21" spans="2:20" ht="18" x14ac:dyDescent="0.4">
      <c r="B21" s="485" t="s">
        <v>68</v>
      </c>
      <c r="C21" s="486">
        <v>471</v>
      </c>
      <c r="D21" s="487">
        <f>'Récapitulatif '!E49</f>
        <v>1289.9000000000001</v>
      </c>
      <c r="E21" s="487">
        <f>'BUDGET 2022'!$E$12/12</f>
        <v>758.33333333333337</v>
      </c>
      <c r="F21" s="59"/>
      <c r="G21" s="59"/>
      <c r="J21" s="54"/>
      <c r="K21" s="48"/>
      <c r="L21" s="143"/>
      <c r="M21" s="77"/>
    </row>
    <row r="22" spans="2:20" ht="18" x14ac:dyDescent="0.4">
      <c r="B22" s="485" t="s">
        <v>69</v>
      </c>
      <c r="C22" s="486">
        <v>233.5</v>
      </c>
      <c r="D22" s="487">
        <f>'Récapitulatif '!F49</f>
        <v>1018.1</v>
      </c>
      <c r="E22" s="487">
        <f>'BUDGET 2022'!$E$12/12</f>
        <v>758.33333333333337</v>
      </c>
      <c r="F22" s="59"/>
      <c r="G22" s="59"/>
      <c r="J22" s="54"/>
      <c r="K22" s="48"/>
      <c r="L22" s="143"/>
      <c r="M22" s="77"/>
    </row>
    <row r="23" spans="2:20" ht="18" x14ac:dyDescent="0.4">
      <c r="B23" s="485" t="s">
        <v>70</v>
      </c>
      <c r="C23" s="486">
        <v>275.5</v>
      </c>
      <c r="D23" s="487">
        <f>'Récapitulatif '!G49</f>
        <v>1678.4</v>
      </c>
      <c r="E23" s="487">
        <f>'BUDGET 2022'!$E$12/12</f>
        <v>758.33333333333337</v>
      </c>
      <c r="F23" s="59"/>
      <c r="G23" s="59"/>
      <c r="J23" s="54"/>
      <c r="K23" s="48"/>
      <c r="L23" s="143"/>
      <c r="M23" s="77"/>
    </row>
    <row r="24" spans="2:20" ht="18" x14ac:dyDescent="0.4">
      <c r="B24" s="485" t="s">
        <v>71</v>
      </c>
      <c r="C24" s="486">
        <v>136</v>
      </c>
      <c r="D24" s="487">
        <f>'Récapitulatif '!H49</f>
        <v>1892.75</v>
      </c>
      <c r="E24" s="487">
        <f>'BUDGET 2022'!$E$12/12</f>
        <v>758.33333333333337</v>
      </c>
      <c r="F24" s="59"/>
      <c r="G24" s="59"/>
      <c r="J24" s="54"/>
      <c r="K24" s="48"/>
      <c r="L24" s="143"/>
      <c r="M24" s="77"/>
    </row>
    <row r="25" spans="2:20" ht="18" x14ac:dyDescent="0.4">
      <c r="B25" s="485" t="s">
        <v>72</v>
      </c>
      <c r="C25" s="486">
        <v>1262.0999999999999</v>
      </c>
      <c r="D25" s="487">
        <f>'Récapitulatif '!I49</f>
        <v>1486.1</v>
      </c>
      <c r="E25" s="487">
        <f>'BUDGET 2022'!$E$12/12</f>
        <v>758.33333333333337</v>
      </c>
      <c r="F25" s="59"/>
      <c r="G25" s="59"/>
      <c r="J25" s="54"/>
      <c r="K25" s="48"/>
      <c r="L25" s="143"/>
      <c r="M25" s="77"/>
    </row>
    <row r="26" spans="2:20" ht="18" x14ac:dyDescent="0.4">
      <c r="B26" s="485" t="s">
        <v>73</v>
      </c>
      <c r="C26" s="486">
        <v>903</v>
      </c>
      <c r="D26" s="487">
        <f>'Récapitulatif '!J49</f>
        <v>1133</v>
      </c>
      <c r="E26" s="487">
        <f>'BUDGET 2022'!$E$12/12</f>
        <v>758.33333333333337</v>
      </c>
      <c r="F26" s="59"/>
      <c r="G26" s="59"/>
      <c r="J26" s="54"/>
      <c r="K26" s="48"/>
      <c r="L26" s="143"/>
      <c r="M26" s="77"/>
    </row>
    <row r="27" spans="2:20" ht="18" x14ac:dyDescent="0.4">
      <c r="B27" s="485" t="s">
        <v>74</v>
      </c>
      <c r="C27" s="486">
        <v>1040.45</v>
      </c>
      <c r="D27" s="487">
        <f>'Récapitulatif '!K49</f>
        <v>2119.9</v>
      </c>
      <c r="E27" s="487">
        <f>'BUDGET 2022'!$E$12/12</f>
        <v>758.33333333333337</v>
      </c>
      <c r="F27" s="59"/>
      <c r="G27" s="59"/>
      <c r="J27" s="54"/>
      <c r="K27" s="48"/>
      <c r="L27" s="143"/>
      <c r="M27" s="77"/>
    </row>
    <row r="28" spans="2:20" ht="18" x14ac:dyDescent="0.4">
      <c r="B28" s="485" t="s">
        <v>75</v>
      </c>
      <c r="C28" s="486">
        <v>1149</v>
      </c>
      <c r="D28" s="487">
        <f>'Récapitulatif '!L49</f>
        <v>881.1</v>
      </c>
      <c r="E28" s="487">
        <f>'BUDGET 2022'!$E$12/12</f>
        <v>758.33333333333337</v>
      </c>
      <c r="F28" s="59"/>
      <c r="G28" s="59"/>
      <c r="J28" s="54"/>
      <c r="K28" s="48"/>
      <c r="L28" s="143"/>
      <c r="M28" s="77"/>
    </row>
    <row r="29" spans="2:20" ht="18" x14ac:dyDescent="0.4">
      <c r="B29" s="485" t="s">
        <v>76</v>
      </c>
      <c r="C29" s="486">
        <v>1956.3</v>
      </c>
      <c r="D29" s="487">
        <f>'Récapitulatif '!M49</f>
        <v>1336.3</v>
      </c>
      <c r="E29" s="487">
        <f>'BUDGET 2022'!$E$12/12</f>
        <v>758.33333333333337</v>
      </c>
      <c r="F29" s="59"/>
      <c r="G29" s="59"/>
      <c r="J29" s="54"/>
      <c r="K29" s="48"/>
      <c r="L29" s="143"/>
      <c r="M29" s="77"/>
    </row>
    <row r="30" spans="2:20" ht="18" x14ac:dyDescent="0.4">
      <c r="B30" s="485" t="s">
        <v>77</v>
      </c>
      <c r="C30" s="486">
        <v>759</v>
      </c>
      <c r="D30" s="487">
        <f>'Récapitulatif '!N49</f>
        <v>1219.1000000000001</v>
      </c>
      <c r="E30" s="487">
        <f>'BUDGET 2022'!$E$12/12</f>
        <v>758.33333333333337</v>
      </c>
      <c r="F30" s="59"/>
      <c r="G30" s="59"/>
      <c r="I30" s="140"/>
      <c r="J30" s="54"/>
      <c r="K30" s="48"/>
      <c r="L30" s="143"/>
      <c r="M30" s="77"/>
      <c r="N30" s="140"/>
      <c r="P30" s="140"/>
      <c r="Q30" s="140"/>
      <c r="R30" s="140"/>
      <c r="T30" s="140"/>
    </row>
    <row r="31" spans="2:20" ht="18" x14ac:dyDescent="0.4">
      <c r="C31" s="59"/>
      <c r="D31" s="59"/>
      <c r="E31" s="59"/>
      <c r="F31" s="59"/>
      <c r="G31" s="59"/>
      <c r="L31" s="76"/>
      <c r="M31" s="77"/>
    </row>
    <row r="32" spans="2:20" ht="18" x14ac:dyDescent="0.4">
      <c r="C32" s="59"/>
      <c r="D32" s="59"/>
      <c r="E32" s="59"/>
      <c r="F32" s="59"/>
      <c r="G32" s="59"/>
      <c r="L32" s="76"/>
      <c r="M32" s="77"/>
    </row>
    <row r="33" spans="3:13" ht="18.5" thickBot="1" x14ac:dyDescent="0.45">
      <c r="C33" s="59"/>
      <c r="D33" s="59"/>
      <c r="E33" s="59"/>
      <c r="F33" s="59"/>
      <c r="G33" s="59"/>
      <c r="M33" s="77"/>
    </row>
    <row r="34" spans="3:13" ht="32.4" customHeight="1" x14ac:dyDescent="0.25">
      <c r="C34" s="504" t="s">
        <v>411</v>
      </c>
      <c r="D34" s="505"/>
    </row>
    <row r="35" spans="3:13" x14ac:dyDescent="0.25">
      <c r="C35" s="502">
        <v>44197</v>
      </c>
      <c r="D35" s="506">
        <f>'Récapitulatif '!C47</f>
        <v>7238.7</v>
      </c>
    </row>
    <row r="36" spans="3:13" x14ac:dyDescent="0.25">
      <c r="C36" s="502">
        <v>44228</v>
      </c>
      <c r="D36" s="506">
        <f>'Récapitulatif '!D47</f>
        <v>6140.01</v>
      </c>
    </row>
    <row r="37" spans="3:13" x14ac:dyDescent="0.25">
      <c r="C37" s="502">
        <v>44256</v>
      </c>
      <c r="D37" s="506">
        <f>'Récapitulatif '!E47</f>
        <v>6324.01</v>
      </c>
    </row>
    <row r="38" spans="3:13" x14ac:dyDescent="0.25">
      <c r="C38" s="502">
        <v>44287</v>
      </c>
      <c r="D38" s="506">
        <f>'Récapitulatif '!F47</f>
        <v>6458.49</v>
      </c>
    </row>
    <row r="39" spans="3:13" x14ac:dyDescent="0.25">
      <c r="C39" s="502">
        <v>44317</v>
      </c>
      <c r="D39" s="506">
        <f>'Récapitulatif '!G47</f>
        <v>6425.8899999999994</v>
      </c>
    </row>
    <row r="40" spans="3:13" x14ac:dyDescent="0.25">
      <c r="C40" s="502">
        <v>44348</v>
      </c>
      <c r="D40" s="506">
        <f>'Récapitulatif '!H47</f>
        <v>4747.49</v>
      </c>
    </row>
    <row r="41" spans="3:13" ht="13" x14ac:dyDescent="0.3">
      <c r="C41" s="502">
        <v>44378</v>
      </c>
      <c r="D41" s="506">
        <f>'Récapitulatif '!I47</f>
        <v>6425.6999999999989</v>
      </c>
      <c r="K41" s="44"/>
    </row>
    <row r="42" spans="3:13" ht="13" x14ac:dyDescent="0.3">
      <c r="C42" s="502">
        <v>44409</v>
      </c>
      <c r="D42" s="506">
        <f>'Récapitulatif '!J47</f>
        <v>6980.0999999999985</v>
      </c>
      <c r="J42" s="45"/>
      <c r="K42" s="151"/>
    </row>
    <row r="43" spans="3:13" ht="14" x14ac:dyDescent="0.3">
      <c r="C43" s="502">
        <v>44440</v>
      </c>
      <c r="D43" s="506">
        <f>'Récapitulatif '!K47</f>
        <v>5847.0999999999985</v>
      </c>
      <c r="E43" s="49"/>
      <c r="J43" s="45"/>
      <c r="K43" s="151"/>
      <c r="L43" s="148"/>
      <c r="M43" s="148"/>
    </row>
    <row r="44" spans="3:13" ht="14" x14ac:dyDescent="0.25">
      <c r="C44" s="502">
        <v>44470</v>
      </c>
      <c r="D44" s="506">
        <f>'Récapitulatif '!L47</f>
        <v>9047.4299999999985</v>
      </c>
      <c r="E44" s="49"/>
      <c r="J44" s="149"/>
      <c r="K44" s="150"/>
      <c r="L44" s="147"/>
      <c r="M44" s="147"/>
    </row>
    <row r="45" spans="3:13" ht="14" x14ac:dyDescent="0.25">
      <c r="C45" s="502">
        <v>44501</v>
      </c>
      <c r="D45" s="506">
        <f>'Récapitulatif '!M47</f>
        <v>8166.3299999999981</v>
      </c>
      <c r="E45" s="49"/>
      <c r="J45" s="554"/>
      <c r="K45" s="555"/>
      <c r="L45" s="147"/>
      <c r="M45" s="147"/>
    </row>
    <row r="46" spans="3:13" ht="14" x14ac:dyDescent="0.3">
      <c r="C46" s="502">
        <v>44531</v>
      </c>
      <c r="D46" s="506">
        <f>'Récapitulatif '!N47</f>
        <v>6762.8399999999983</v>
      </c>
      <c r="E46" s="49"/>
      <c r="J46" s="148"/>
      <c r="K46" s="155"/>
      <c r="L46" s="147"/>
      <c r="M46" s="147"/>
    </row>
    <row r="47" spans="3:13" ht="13.5" thickBot="1" x14ac:dyDescent="0.35">
      <c r="C47" s="503">
        <v>44562</v>
      </c>
      <c r="D47" s="507">
        <f>'Récapitulatif '!N52</f>
        <v>7527.9999999999982</v>
      </c>
      <c r="J47" s="156"/>
      <c r="K47" s="158"/>
    </row>
    <row r="48" spans="3:13" ht="13" x14ac:dyDescent="0.3">
      <c r="C48" s="48"/>
      <c r="J48" s="156"/>
      <c r="K48" s="159"/>
    </row>
    <row r="49" spans="3:11" x14ac:dyDescent="0.25">
      <c r="C49" s="48"/>
      <c r="K49" s="157"/>
    </row>
    <row r="50" spans="3:11" x14ac:dyDescent="0.25">
      <c r="C50" s="48"/>
      <c r="K50" s="154"/>
    </row>
    <row r="51" spans="3:11" x14ac:dyDescent="0.25">
      <c r="C51" s="48"/>
      <c r="K51" s="54"/>
    </row>
    <row r="52" spans="3:11" x14ac:dyDescent="0.25">
      <c r="K52" s="54"/>
    </row>
    <row r="53" spans="3:11" x14ac:dyDescent="0.25">
      <c r="K53" s="54"/>
    </row>
    <row r="54" spans="3:11" x14ac:dyDescent="0.25">
      <c r="K54" s="54"/>
    </row>
    <row r="55" spans="3:11" x14ac:dyDescent="0.25">
      <c r="K55" s="54"/>
    </row>
  </sheetData>
  <mergeCells count="3">
    <mergeCell ref="K9:L9"/>
    <mergeCell ref="J45:K45"/>
    <mergeCell ref="K7:L7"/>
  </mergeCells>
  <printOptions horizontalCentered="1" verticalCentered="1"/>
  <pageMargins left="0" right="0" top="0" bottom="0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I1126"/>
  <sheetViews>
    <sheetView showGridLines="0" workbookViewId="0">
      <selection activeCell="D26" sqref="D26"/>
    </sheetView>
  </sheetViews>
  <sheetFormatPr baseColWidth="10" defaultColWidth="10.81640625" defaultRowHeight="10.5" x14ac:dyDescent="0.25"/>
  <cols>
    <col min="1" max="1" width="10.81640625" style="58"/>
    <col min="2" max="2" width="23.90625" style="58" bestFit="1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" thickTop="1" x14ac:dyDescent="0.25">
      <c r="A1" s="206" t="s">
        <v>55</v>
      </c>
      <c r="B1" s="208"/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2.5" x14ac:dyDescent="0.25">
      <c r="A2" s="210">
        <v>44597</v>
      </c>
      <c r="B2" s="56" t="s">
        <v>231</v>
      </c>
      <c r="C2" s="199"/>
      <c r="D2" s="200">
        <v>50</v>
      </c>
      <c r="E2" s="201"/>
      <c r="F2" s="202">
        <f t="shared" ref="F2:F15" si="0">SUM(C2:E2)</f>
        <v>50</v>
      </c>
      <c r="G2" s="217" t="s">
        <v>145</v>
      </c>
    </row>
    <row r="3" spans="1:35" ht="12.5" x14ac:dyDescent="0.25">
      <c r="A3" s="210">
        <v>44597</v>
      </c>
      <c r="B3" s="56" t="s">
        <v>232</v>
      </c>
      <c r="C3" s="199">
        <v>40</v>
      </c>
      <c r="D3" s="200"/>
      <c r="E3" s="203"/>
      <c r="F3" s="202">
        <f t="shared" si="0"/>
        <v>40</v>
      </c>
      <c r="G3" s="217" t="s">
        <v>145</v>
      </c>
    </row>
    <row r="4" spans="1:35" ht="12.5" x14ac:dyDescent="0.25">
      <c r="A4" s="210">
        <v>44598</v>
      </c>
      <c r="B4" s="56" t="s">
        <v>144</v>
      </c>
      <c r="C4" s="199">
        <v>77.36</v>
      </c>
      <c r="D4" s="200"/>
      <c r="E4" s="203"/>
      <c r="F4" s="204">
        <f t="shared" si="0"/>
        <v>77.36</v>
      </c>
      <c r="G4" s="217" t="s">
        <v>145</v>
      </c>
    </row>
    <row r="5" spans="1:35" ht="12.5" x14ac:dyDescent="0.25">
      <c r="A5" s="210">
        <v>44599</v>
      </c>
      <c r="B5" s="56" t="s">
        <v>170</v>
      </c>
      <c r="C5" s="199">
        <v>60</v>
      </c>
      <c r="D5" s="200"/>
      <c r="E5" s="203"/>
      <c r="F5" s="204">
        <f t="shared" si="0"/>
        <v>60</v>
      </c>
      <c r="G5" s="217" t="s">
        <v>145</v>
      </c>
    </row>
    <row r="6" spans="1:35" ht="12.5" x14ac:dyDescent="0.25">
      <c r="A6" s="210">
        <v>44599</v>
      </c>
      <c r="B6" s="56" t="s">
        <v>233</v>
      </c>
      <c r="C6" s="199">
        <v>130</v>
      </c>
      <c r="D6" s="200"/>
      <c r="E6" s="203"/>
      <c r="F6" s="204">
        <f t="shared" si="0"/>
        <v>130</v>
      </c>
      <c r="G6" s="217" t="s">
        <v>145</v>
      </c>
    </row>
    <row r="7" spans="1:35" ht="12.5" x14ac:dyDescent="0.25">
      <c r="A7" s="210">
        <v>44604</v>
      </c>
      <c r="B7" s="56" t="s">
        <v>249</v>
      </c>
      <c r="C7" s="199"/>
      <c r="D7" s="200">
        <v>30</v>
      </c>
      <c r="E7" s="203"/>
      <c r="F7" s="204">
        <f t="shared" si="0"/>
        <v>30</v>
      </c>
      <c r="G7" s="217" t="s">
        <v>145</v>
      </c>
    </row>
    <row r="8" spans="1:35" ht="12.5" x14ac:dyDescent="0.25">
      <c r="A8" s="210">
        <v>44604</v>
      </c>
      <c r="B8" s="56" t="s">
        <v>250</v>
      </c>
      <c r="C8" s="199"/>
      <c r="D8" s="200">
        <v>120</v>
      </c>
      <c r="E8" s="203"/>
      <c r="F8" s="204">
        <f t="shared" si="0"/>
        <v>120</v>
      </c>
      <c r="G8" s="217" t="s">
        <v>145</v>
      </c>
    </row>
    <row r="9" spans="1:35" ht="12.5" x14ac:dyDescent="0.25">
      <c r="A9" s="464">
        <v>44613</v>
      </c>
      <c r="B9" s="56" t="s">
        <v>258</v>
      </c>
      <c r="C9" s="199">
        <v>50</v>
      </c>
      <c r="D9" s="200"/>
      <c r="E9" s="203"/>
      <c r="F9" s="204">
        <f t="shared" si="0"/>
        <v>50</v>
      </c>
      <c r="G9" s="217" t="s">
        <v>145</v>
      </c>
    </row>
    <row r="10" spans="1:35" ht="12.5" x14ac:dyDescent="0.25">
      <c r="A10" s="210">
        <v>44616</v>
      </c>
      <c r="B10" s="56" t="s">
        <v>270</v>
      </c>
      <c r="C10" s="199">
        <v>50</v>
      </c>
      <c r="D10" s="200"/>
      <c r="E10" s="203"/>
      <c r="F10" s="204">
        <f t="shared" si="0"/>
        <v>50</v>
      </c>
      <c r="G10" s="217" t="s">
        <v>145</v>
      </c>
    </row>
    <row r="11" spans="1:35" ht="12.5" x14ac:dyDescent="0.25">
      <c r="A11" s="210">
        <v>44616</v>
      </c>
      <c r="B11" s="56" t="s">
        <v>194</v>
      </c>
      <c r="C11" s="199">
        <v>30</v>
      </c>
      <c r="D11" s="200"/>
      <c r="E11" s="203"/>
      <c r="F11" s="204">
        <f t="shared" si="0"/>
        <v>30</v>
      </c>
      <c r="G11" s="217" t="s">
        <v>145</v>
      </c>
    </row>
    <row r="12" spans="1:35" ht="12.5" x14ac:dyDescent="0.25">
      <c r="A12" s="210">
        <v>44618</v>
      </c>
      <c r="B12" s="56" t="s">
        <v>142</v>
      </c>
      <c r="C12" s="199">
        <v>48</v>
      </c>
      <c r="D12" s="200"/>
      <c r="E12" s="203"/>
      <c r="F12" s="204">
        <f t="shared" si="0"/>
        <v>48</v>
      </c>
      <c r="G12" s="217" t="s">
        <v>145</v>
      </c>
    </row>
    <row r="13" spans="1:35" ht="12.65" customHeight="1" x14ac:dyDescent="0.25">
      <c r="A13" s="210">
        <v>44619</v>
      </c>
      <c r="B13" s="56" t="s">
        <v>278</v>
      </c>
      <c r="C13" s="199"/>
      <c r="D13" s="200">
        <v>80</v>
      </c>
      <c r="E13" s="203"/>
      <c r="F13" s="204">
        <f t="shared" si="0"/>
        <v>80</v>
      </c>
      <c r="G13" s="217" t="s">
        <v>145</v>
      </c>
    </row>
    <row r="14" spans="1:35" ht="12.65" customHeight="1" x14ac:dyDescent="0.25">
      <c r="A14" s="210">
        <v>44620</v>
      </c>
      <c r="B14" s="56" t="s">
        <v>283</v>
      </c>
      <c r="C14" s="199">
        <v>144</v>
      </c>
      <c r="D14" s="200"/>
      <c r="E14" s="203"/>
      <c r="F14" s="204">
        <f t="shared" si="0"/>
        <v>144</v>
      </c>
      <c r="G14" s="217" t="s">
        <v>145</v>
      </c>
    </row>
    <row r="15" spans="1:35" ht="12.65" customHeight="1" x14ac:dyDescent="0.25">
      <c r="A15" s="210" t="s">
        <v>282</v>
      </c>
      <c r="B15" s="56" t="s">
        <v>171</v>
      </c>
      <c r="C15" s="199">
        <v>99.96</v>
      </c>
      <c r="D15" s="200"/>
      <c r="E15" s="203"/>
      <c r="F15" s="204">
        <f t="shared" si="0"/>
        <v>99.96</v>
      </c>
      <c r="G15" s="217" t="s">
        <v>145</v>
      </c>
    </row>
    <row r="16" spans="1:35" s="162" customFormat="1" ht="13" thickBot="1" x14ac:dyDescent="0.3">
      <c r="A16" s="212"/>
      <c r="B16" s="213" t="s">
        <v>0</v>
      </c>
      <c r="C16" s="214">
        <f>SUM(C2:C15)</f>
        <v>729.32</v>
      </c>
      <c r="D16" s="214">
        <f>SUM(D2:D15)</f>
        <v>280</v>
      </c>
      <c r="E16" s="214">
        <f>SUM(E2:E15)</f>
        <v>0</v>
      </c>
      <c r="F16" s="215">
        <f>SUM(F2:F15)</f>
        <v>1009.32</v>
      </c>
      <c r="G16" s="2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4:5" s="3" customFormat="1" ht="11" thickTop="1" x14ac:dyDescent="0.25">
      <c r="D17" s="1"/>
      <c r="E17" s="1"/>
    </row>
    <row r="18" spans="4:5" s="3" customFormat="1" x14ac:dyDescent="0.25">
      <c r="D18" s="1"/>
      <c r="E18" s="1"/>
    </row>
    <row r="19" spans="4:5" s="3" customFormat="1" x14ac:dyDescent="0.25">
      <c r="D19" s="1"/>
      <c r="E19" s="1"/>
    </row>
    <row r="20" spans="4:5" s="3" customFormat="1" x14ac:dyDescent="0.25">
      <c r="D20" s="1"/>
      <c r="E20" s="1"/>
    </row>
    <row r="21" spans="4:5" s="3" customFormat="1" x14ac:dyDescent="0.25">
      <c r="D21" s="1"/>
      <c r="E21" s="1"/>
    </row>
    <row r="22" spans="4:5" s="3" customFormat="1" x14ac:dyDescent="0.25">
      <c r="D22" s="1"/>
      <c r="E22" s="1"/>
    </row>
    <row r="23" spans="4:5" s="3" customFormat="1" x14ac:dyDescent="0.25">
      <c r="D23" s="1"/>
      <c r="E23" s="1"/>
    </row>
    <row r="24" spans="4:5" s="3" customFormat="1" x14ac:dyDescent="0.25">
      <c r="D24" s="1"/>
      <c r="E24" s="1"/>
    </row>
    <row r="25" spans="4:5" s="3" customFormat="1" x14ac:dyDescent="0.25">
      <c r="D25" s="1"/>
      <c r="E25" s="1"/>
    </row>
    <row r="26" spans="4:5" s="3" customFormat="1" x14ac:dyDescent="0.25">
      <c r="D26" s="1"/>
      <c r="E26" s="1"/>
    </row>
    <row r="27" spans="4:5" s="3" customFormat="1" x14ac:dyDescent="0.25">
      <c r="D27" s="1"/>
      <c r="E27" s="1"/>
    </row>
    <row r="28" spans="4:5" s="3" customFormat="1" x14ac:dyDescent="0.25">
      <c r="D28" s="1"/>
      <c r="E28" s="1"/>
    </row>
    <row r="29" spans="4:5" s="3" customFormat="1" x14ac:dyDescent="0.25">
      <c r="D29" s="1"/>
      <c r="E29" s="1"/>
    </row>
    <row r="30" spans="4:5" s="3" customFormat="1" x14ac:dyDescent="0.25">
      <c r="D30" s="1"/>
      <c r="E30" s="1"/>
    </row>
    <row r="31" spans="4:5" s="3" customFormat="1" x14ac:dyDescent="0.25">
      <c r="D31" s="1"/>
      <c r="E31" s="1"/>
    </row>
    <row r="32" spans="4: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K94"/>
  <sheetViews>
    <sheetView showGridLines="0" zoomScale="84" zoomScaleNormal="84" workbookViewId="0">
      <selection activeCell="F5" sqref="F5"/>
    </sheetView>
  </sheetViews>
  <sheetFormatPr baseColWidth="10" defaultRowHeight="12.5" x14ac:dyDescent="0.25"/>
  <cols>
    <col min="1" max="1" width="9.81640625" customWidth="1"/>
    <col min="2" max="2" width="31.5429687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67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f>' 01 2022'!D78</f>
        <v>8235.0000000000036</v>
      </c>
      <c r="E5" s="179"/>
      <c r="F5" s="180">
        <f>' 01 2022'!F78</f>
        <v>95.75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8330.7500000000036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170" customFormat="1" ht="12" customHeight="1" x14ac:dyDescent="0.25">
      <c r="A6" s="271">
        <v>44594</v>
      </c>
      <c r="B6" s="222" t="s">
        <v>138</v>
      </c>
      <c r="C6" s="272" t="s">
        <v>145</v>
      </c>
      <c r="D6" s="283"/>
      <c r="E6" s="223">
        <v>11.44</v>
      </c>
      <c r="F6" s="224"/>
      <c r="G6" s="284"/>
      <c r="H6" s="302"/>
      <c r="I6" s="225"/>
      <c r="J6" s="225"/>
      <c r="K6" s="226"/>
      <c r="L6" s="225"/>
      <c r="M6" s="225"/>
      <c r="N6" s="225"/>
      <c r="O6" s="303"/>
      <c r="P6" s="316"/>
      <c r="Q6" s="227"/>
      <c r="R6" s="227"/>
      <c r="S6" s="227"/>
      <c r="T6" s="227"/>
      <c r="U6" s="228"/>
      <c r="V6" s="227"/>
      <c r="W6" s="229"/>
      <c r="X6" s="227"/>
      <c r="Y6" s="227"/>
      <c r="Z6" s="227"/>
      <c r="AA6" s="317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170" customFormat="1" ht="12" customHeight="1" x14ac:dyDescent="0.25">
      <c r="A7" s="273">
        <v>44594</v>
      </c>
      <c r="B7" s="231" t="s">
        <v>217</v>
      </c>
      <c r="C7" s="274" t="s">
        <v>145</v>
      </c>
      <c r="D7" s="285"/>
      <c r="E7" s="218">
        <v>1319</v>
      </c>
      <c r="F7" s="219"/>
      <c r="G7" s="286"/>
      <c r="H7" s="304"/>
      <c r="I7" s="185"/>
      <c r="J7" s="185"/>
      <c r="K7" s="186"/>
      <c r="L7" s="185"/>
      <c r="M7" s="185"/>
      <c r="N7" s="185"/>
      <c r="O7" s="305"/>
      <c r="P7" s="318"/>
      <c r="Q7" s="191"/>
      <c r="R7" s="191"/>
      <c r="S7" s="191"/>
      <c r="T7" s="191">
        <v>1319</v>
      </c>
      <c r="U7" s="232"/>
      <c r="V7" s="191"/>
      <c r="W7" s="192">
        <v>11.44</v>
      </c>
      <c r="X7" s="191"/>
      <c r="Y7" s="191"/>
      <c r="Z7" s="191"/>
      <c r="AA7" s="319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170" customFormat="1" ht="12" customHeight="1" x14ac:dyDescent="0.25">
      <c r="A8" s="273">
        <v>44594</v>
      </c>
      <c r="B8" s="231" t="s">
        <v>284</v>
      </c>
      <c r="C8" s="274" t="s">
        <v>145</v>
      </c>
      <c r="D8" s="285"/>
      <c r="E8" s="218"/>
      <c r="F8" s="219">
        <v>32.4</v>
      </c>
      <c r="G8" s="286"/>
      <c r="H8" s="304">
        <v>32.4</v>
      </c>
      <c r="I8" s="185"/>
      <c r="J8" s="185"/>
      <c r="K8" s="186"/>
      <c r="L8" s="185"/>
      <c r="M8" s="185"/>
      <c r="N8" s="185"/>
      <c r="O8" s="305"/>
      <c r="P8" s="318"/>
      <c r="Q8" s="191"/>
      <c r="R8" s="191"/>
      <c r="S8" s="191"/>
      <c r="T8" s="191"/>
      <c r="U8" s="232"/>
      <c r="V8" s="191"/>
      <c r="W8" s="192"/>
      <c r="X8" s="191"/>
      <c r="Y8" s="191"/>
      <c r="Z8" s="191"/>
      <c r="AA8" s="319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170" customFormat="1" ht="12" customHeight="1" x14ac:dyDescent="0.25">
      <c r="A9" s="273">
        <v>44596</v>
      </c>
      <c r="B9" s="231" t="s">
        <v>146</v>
      </c>
      <c r="C9" s="274" t="s">
        <v>145</v>
      </c>
      <c r="D9" s="285"/>
      <c r="E9" s="218">
        <v>29.99</v>
      </c>
      <c r="F9" s="219"/>
      <c r="G9" s="286"/>
      <c r="H9" s="304"/>
      <c r="I9" s="185"/>
      <c r="J9" s="185"/>
      <c r="K9" s="186"/>
      <c r="L9" s="185"/>
      <c r="M9" s="185"/>
      <c r="N9" s="185"/>
      <c r="O9" s="305"/>
      <c r="P9" s="318"/>
      <c r="Q9" s="191"/>
      <c r="R9" s="191"/>
      <c r="S9" s="191"/>
      <c r="T9" s="191"/>
      <c r="U9" s="232"/>
      <c r="V9" s="191">
        <v>29.99</v>
      </c>
      <c r="W9" s="192"/>
      <c r="X9" s="191"/>
      <c r="Y9" s="191"/>
      <c r="Z9" s="191"/>
      <c r="AA9" s="319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170" customFormat="1" ht="12" customHeight="1" x14ac:dyDescent="0.25">
      <c r="A10" s="273">
        <v>44596</v>
      </c>
      <c r="B10" s="231" t="s">
        <v>225</v>
      </c>
      <c r="C10" s="274" t="s">
        <v>145</v>
      </c>
      <c r="D10" s="285">
        <v>20</v>
      </c>
      <c r="E10" s="218"/>
      <c r="F10" s="219"/>
      <c r="G10" s="286"/>
      <c r="H10" s="304"/>
      <c r="I10" s="185"/>
      <c r="J10" s="185"/>
      <c r="K10" s="186">
        <v>20</v>
      </c>
      <c r="L10" s="185"/>
      <c r="M10" s="185"/>
      <c r="N10" s="185"/>
      <c r="O10" s="305"/>
      <c r="P10" s="318"/>
      <c r="Q10" s="191"/>
      <c r="R10" s="191"/>
      <c r="S10" s="191"/>
      <c r="T10" s="191"/>
      <c r="U10" s="232"/>
      <c r="V10" s="191"/>
      <c r="W10" s="192"/>
      <c r="X10" s="191"/>
      <c r="Y10" s="191"/>
      <c r="Z10" s="191"/>
      <c r="AA10" s="319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170" customFormat="1" ht="12" customHeight="1" x14ac:dyDescent="0.25">
      <c r="A11" s="273">
        <v>44596</v>
      </c>
      <c r="B11" s="231" t="s">
        <v>219</v>
      </c>
      <c r="C11" s="274" t="s">
        <v>145</v>
      </c>
      <c r="D11" s="285"/>
      <c r="E11" s="218"/>
      <c r="F11" s="219">
        <v>20</v>
      </c>
      <c r="G11" s="286"/>
      <c r="H11" s="304"/>
      <c r="I11" s="185"/>
      <c r="J11" s="185"/>
      <c r="K11" s="186">
        <v>20</v>
      </c>
      <c r="L11" s="185"/>
      <c r="M11" s="185"/>
      <c r="N11" s="185"/>
      <c r="O11" s="305"/>
      <c r="P11" s="318"/>
      <c r="Q11" s="191"/>
      <c r="R11" s="191"/>
      <c r="S11" s="191"/>
      <c r="T11" s="191"/>
      <c r="U11" s="232"/>
      <c r="V11" s="191"/>
      <c r="W11" s="192"/>
      <c r="X11" s="191"/>
      <c r="Y11" s="191"/>
      <c r="Z11" s="191"/>
      <c r="AA11" s="319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170" customFormat="1" ht="12" customHeight="1" x14ac:dyDescent="0.25">
      <c r="A12" s="273">
        <v>44596</v>
      </c>
      <c r="B12" s="231" t="s">
        <v>218</v>
      </c>
      <c r="C12" s="274" t="s">
        <v>145</v>
      </c>
      <c r="D12" s="285"/>
      <c r="E12" s="218"/>
      <c r="F12" s="219">
        <v>35.200000000000003</v>
      </c>
      <c r="G12" s="286"/>
      <c r="H12" s="304"/>
      <c r="I12" s="185"/>
      <c r="J12" s="185"/>
      <c r="K12" s="186">
        <v>35.200000000000003</v>
      </c>
      <c r="L12" s="185"/>
      <c r="M12" s="185"/>
      <c r="N12" s="185"/>
      <c r="O12" s="305"/>
      <c r="P12" s="318"/>
      <c r="Q12" s="191"/>
      <c r="R12" s="191"/>
      <c r="S12" s="191"/>
      <c r="T12" s="191"/>
      <c r="U12" s="232"/>
      <c r="V12" s="191"/>
      <c r="W12" s="192"/>
      <c r="X12" s="191"/>
      <c r="Y12" s="191"/>
      <c r="Z12" s="191"/>
      <c r="AA12" s="319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170" customFormat="1" ht="12" customHeight="1" x14ac:dyDescent="0.25">
      <c r="A13" s="273">
        <v>44596</v>
      </c>
      <c r="B13" s="231" t="s">
        <v>220</v>
      </c>
      <c r="C13" s="274" t="s">
        <v>145</v>
      </c>
      <c r="D13" s="285"/>
      <c r="E13" s="218"/>
      <c r="F13" s="219">
        <v>125</v>
      </c>
      <c r="G13" s="286"/>
      <c r="H13" s="304"/>
      <c r="I13" s="185"/>
      <c r="J13" s="185"/>
      <c r="K13" s="186">
        <v>125</v>
      </c>
      <c r="L13" s="185"/>
      <c r="M13" s="185"/>
      <c r="N13" s="185"/>
      <c r="O13" s="305"/>
      <c r="P13" s="318"/>
      <c r="Q13" s="191"/>
      <c r="R13" s="191"/>
      <c r="S13" s="191"/>
      <c r="T13" s="191"/>
      <c r="U13" s="232"/>
      <c r="V13" s="191"/>
      <c r="W13" s="192"/>
      <c r="X13" s="191"/>
      <c r="Y13" s="191"/>
      <c r="Z13" s="191"/>
      <c r="AA13" s="319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170" customFormat="1" ht="12" customHeight="1" x14ac:dyDescent="0.25">
      <c r="A14" s="273">
        <v>44596</v>
      </c>
      <c r="B14" s="231" t="s">
        <v>221</v>
      </c>
      <c r="C14" s="274" t="s">
        <v>145</v>
      </c>
      <c r="D14" s="285">
        <v>32</v>
      </c>
      <c r="E14" s="218"/>
      <c r="F14" s="219"/>
      <c r="G14" s="286"/>
      <c r="H14" s="304"/>
      <c r="I14" s="185"/>
      <c r="J14" s="185"/>
      <c r="K14" s="186">
        <v>32</v>
      </c>
      <c r="L14" s="185"/>
      <c r="M14" s="185"/>
      <c r="N14" s="185"/>
      <c r="O14" s="305"/>
      <c r="P14" s="318"/>
      <c r="Q14" s="191"/>
      <c r="R14" s="191"/>
      <c r="S14" s="191"/>
      <c r="T14" s="191"/>
      <c r="U14" s="232"/>
      <c r="V14" s="191"/>
      <c r="W14" s="192"/>
      <c r="X14" s="191"/>
      <c r="Y14" s="191"/>
      <c r="Z14" s="191"/>
      <c r="AA14" s="319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170" customFormat="1" ht="12" customHeight="1" x14ac:dyDescent="0.25">
      <c r="A15" s="273">
        <v>44596</v>
      </c>
      <c r="B15" s="231" t="s">
        <v>222</v>
      </c>
      <c r="C15" s="274" t="s">
        <v>145</v>
      </c>
      <c r="D15" s="285">
        <v>36</v>
      </c>
      <c r="E15" s="218"/>
      <c r="F15" s="219"/>
      <c r="G15" s="286"/>
      <c r="H15" s="304"/>
      <c r="I15" s="185"/>
      <c r="J15" s="185"/>
      <c r="K15" s="186">
        <v>36</v>
      </c>
      <c r="L15" s="185"/>
      <c r="M15" s="185"/>
      <c r="N15" s="185"/>
      <c r="O15" s="305"/>
      <c r="P15" s="318"/>
      <c r="Q15" s="191"/>
      <c r="R15" s="191"/>
      <c r="S15" s="191"/>
      <c r="T15" s="191"/>
      <c r="U15" s="232"/>
      <c r="V15" s="191"/>
      <c r="W15" s="192"/>
      <c r="X15" s="191"/>
      <c r="Y15" s="191"/>
      <c r="Z15" s="191"/>
      <c r="AA15" s="319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170" customFormat="1" ht="12" customHeight="1" x14ac:dyDescent="0.25">
      <c r="A16" s="273">
        <v>44596</v>
      </c>
      <c r="B16" s="231" t="s">
        <v>223</v>
      </c>
      <c r="C16" s="274" t="s">
        <v>145</v>
      </c>
      <c r="D16" s="285"/>
      <c r="E16" s="218"/>
      <c r="F16" s="219">
        <v>50</v>
      </c>
      <c r="G16" s="286"/>
      <c r="H16" s="304"/>
      <c r="I16" s="185"/>
      <c r="J16" s="185"/>
      <c r="K16" s="186">
        <v>50</v>
      </c>
      <c r="L16" s="185"/>
      <c r="M16" s="185"/>
      <c r="N16" s="185"/>
      <c r="O16" s="305"/>
      <c r="P16" s="318"/>
      <c r="Q16" s="191"/>
      <c r="R16" s="191"/>
      <c r="S16" s="191"/>
      <c r="T16" s="191"/>
      <c r="U16" s="232"/>
      <c r="V16" s="191"/>
      <c r="W16" s="192"/>
      <c r="X16" s="191"/>
      <c r="Y16" s="191"/>
      <c r="Z16" s="191"/>
      <c r="AA16" s="319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170" customFormat="1" ht="12" customHeight="1" x14ac:dyDescent="0.25">
      <c r="A17" s="273">
        <v>44596</v>
      </c>
      <c r="B17" s="231" t="s">
        <v>224</v>
      </c>
      <c r="C17" s="274" t="s">
        <v>145</v>
      </c>
      <c r="D17" s="285">
        <v>136.80000000000001</v>
      </c>
      <c r="E17" s="218"/>
      <c r="F17" s="219"/>
      <c r="G17" s="286"/>
      <c r="H17" s="304"/>
      <c r="I17" s="185"/>
      <c r="J17" s="185"/>
      <c r="K17" s="186">
        <v>136.80000000000001</v>
      </c>
      <c r="L17" s="185"/>
      <c r="M17" s="185"/>
      <c r="N17" s="185"/>
      <c r="O17" s="305"/>
      <c r="P17" s="318"/>
      <c r="Q17" s="191"/>
      <c r="R17" s="191"/>
      <c r="S17" s="191"/>
      <c r="T17" s="191"/>
      <c r="U17" s="232"/>
      <c r="V17" s="191"/>
      <c r="W17" s="192"/>
      <c r="X17" s="191"/>
      <c r="Y17" s="191"/>
      <c r="Z17" s="191"/>
      <c r="AA17" s="319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170" customFormat="1" ht="12" customHeight="1" x14ac:dyDescent="0.25">
      <c r="A18" s="273">
        <v>44596</v>
      </c>
      <c r="B18" s="231" t="s">
        <v>226</v>
      </c>
      <c r="C18" s="274" t="s">
        <v>145</v>
      </c>
      <c r="D18" s="285">
        <v>95</v>
      </c>
      <c r="E18" s="218"/>
      <c r="F18" s="219"/>
      <c r="G18" s="286"/>
      <c r="H18" s="304"/>
      <c r="I18" s="185"/>
      <c r="J18" s="185"/>
      <c r="K18" s="186">
        <v>95</v>
      </c>
      <c r="L18" s="185"/>
      <c r="M18" s="185"/>
      <c r="N18" s="185"/>
      <c r="O18" s="305"/>
      <c r="P18" s="318"/>
      <c r="Q18" s="191"/>
      <c r="R18" s="191"/>
      <c r="S18" s="191"/>
      <c r="T18" s="191"/>
      <c r="U18" s="232"/>
      <c r="V18" s="191"/>
      <c r="W18" s="192"/>
      <c r="X18" s="191"/>
      <c r="Y18" s="191"/>
      <c r="Z18" s="191"/>
      <c r="AA18" s="319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170" customFormat="1" ht="12" customHeight="1" x14ac:dyDescent="0.25">
      <c r="A19" s="273">
        <v>44596</v>
      </c>
      <c r="B19" s="231" t="s">
        <v>227</v>
      </c>
      <c r="C19" s="274" t="s">
        <v>145</v>
      </c>
      <c r="D19" s="285">
        <v>116.9</v>
      </c>
      <c r="E19" s="218"/>
      <c r="F19" s="219"/>
      <c r="G19" s="286"/>
      <c r="H19" s="304"/>
      <c r="I19" s="185"/>
      <c r="J19" s="185"/>
      <c r="K19" s="186">
        <v>116.9</v>
      </c>
      <c r="L19" s="185"/>
      <c r="M19" s="185"/>
      <c r="N19" s="185"/>
      <c r="O19" s="305"/>
      <c r="P19" s="318"/>
      <c r="Q19" s="191"/>
      <c r="R19" s="191"/>
      <c r="S19" s="191"/>
      <c r="T19" s="191"/>
      <c r="U19" s="232"/>
      <c r="V19" s="191"/>
      <c r="W19" s="192"/>
      <c r="X19" s="191"/>
      <c r="Y19" s="191"/>
      <c r="Z19" s="191"/>
      <c r="AA19" s="319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170" customFormat="1" ht="12" customHeight="1" x14ac:dyDescent="0.25">
      <c r="A20" s="273">
        <v>44596</v>
      </c>
      <c r="B20" s="231" t="s">
        <v>228</v>
      </c>
      <c r="C20" s="274" t="s">
        <v>145</v>
      </c>
      <c r="D20" s="285"/>
      <c r="E20" s="218"/>
      <c r="F20" s="219">
        <v>79</v>
      </c>
      <c r="G20" s="286"/>
      <c r="H20" s="304"/>
      <c r="I20" s="185"/>
      <c r="J20" s="185"/>
      <c r="K20" s="186">
        <v>79</v>
      </c>
      <c r="L20" s="185"/>
      <c r="M20" s="185"/>
      <c r="N20" s="185"/>
      <c r="O20" s="305"/>
      <c r="P20" s="318"/>
      <c r="Q20" s="191"/>
      <c r="R20" s="191"/>
      <c r="S20" s="191"/>
      <c r="T20" s="191"/>
      <c r="U20" s="232"/>
      <c r="V20" s="191"/>
      <c r="W20" s="192"/>
      <c r="X20" s="191"/>
      <c r="Y20" s="191"/>
      <c r="Z20" s="191"/>
      <c r="AA20" s="319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170" customFormat="1" ht="12" customHeight="1" x14ac:dyDescent="0.25">
      <c r="A21" s="273">
        <v>44596</v>
      </c>
      <c r="B21" s="231" t="s">
        <v>229</v>
      </c>
      <c r="C21" s="274" t="s">
        <v>145</v>
      </c>
      <c r="D21" s="285"/>
      <c r="E21" s="218"/>
      <c r="F21" s="219">
        <v>52.5</v>
      </c>
      <c r="G21" s="286"/>
      <c r="H21" s="304"/>
      <c r="I21" s="185"/>
      <c r="J21" s="185"/>
      <c r="K21" s="186">
        <v>52.5</v>
      </c>
      <c r="L21" s="185"/>
      <c r="M21" s="185"/>
      <c r="N21" s="185"/>
      <c r="O21" s="305"/>
      <c r="P21" s="318"/>
      <c r="Q21" s="191"/>
      <c r="R21" s="191"/>
      <c r="S21" s="191"/>
      <c r="T21" s="191"/>
      <c r="U21" s="232"/>
      <c r="V21" s="191"/>
      <c r="W21" s="192"/>
      <c r="X21" s="191"/>
      <c r="Y21" s="191"/>
      <c r="Z21" s="191"/>
      <c r="AA21" s="319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170" customFormat="1" ht="12" customHeight="1" x14ac:dyDescent="0.25">
      <c r="A22" s="273">
        <v>44596</v>
      </c>
      <c r="B22" s="231" t="s">
        <v>230</v>
      </c>
      <c r="C22" s="274" t="s">
        <v>145</v>
      </c>
      <c r="D22" s="285">
        <v>106.5</v>
      </c>
      <c r="E22" s="218"/>
      <c r="F22" s="219"/>
      <c r="G22" s="286"/>
      <c r="H22" s="304"/>
      <c r="I22" s="185"/>
      <c r="J22" s="185"/>
      <c r="K22" s="186">
        <v>106.5</v>
      </c>
      <c r="L22" s="185"/>
      <c r="M22" s="185"/>
      <c r="N22" s="185"/>
      <c r="O22" s="305"/>
      <c r="P22" s="318"/>
      <c r="Q22" s="191"/>
      <c r="R22" s="191"/>
      <c r="S22" s="191"/>
      <c r="T22" s="191"/>
      <c r="U22" s="232"/>
      <c r="V22" s="191"/>
      <c r="W22" s="192"/>
      <c r="X22" s="191"/>
      <c r="Y22" s="191"/>
      <c r="Z22" s="191"/>
      <c r="AA22" s="319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170" customFormat="1" ht="12" customHeight="1" x14ac:dyDescent="0.25">
      <c r="A23" s="273">
        <v>44597</v>
      </c>
      <c r="B23" s="231" t="s">
        <v>231</v>
      </c>
      <c r="C23" s="274" t="s">
        <v>145</v>
      </c>
      <c r="D23" s="285">
        <v>50</v>
      </c>
      <c r="E23" s="218"/>
      <c r="F23" s="219"/>
      <c r="G23" s="286"/>
      <c r="H23" s="304"/>
      <c r="I23" s="185">
        <v>50</v>
      </c>
      <c r="J23" s="185"/>
      <c r="K23" s="186"/>
      <c r="L23" s="185"/>
      <c r="M23" s="185"/>
      <c r="N23" s="185"/>
      <c r="O23" s="305"/>
      <c r="P23" s="318"/>
      <c r="Q23" s="191"/>
      <c r="R23" s="191"/>
      <c r="S23" s="191"/>
      <c r="T23" s="191"/>
      <c r="U23" s="232"/>
      <c r="V23" s="191"/>
      <c r="W23" s="192"/>
      <c r="X23" s="191"/>
      <c r="Y23" s="191"/>
      <c r="Z23" s="191"/>
      <c r="AA23" s="319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170" customFormat="1" ht="12" customHeight="1" x14ac:dyDescent="0.25">
      <c r="A24" s="273">
        <v>44597</v>
      </c>
      <c r="B24" s="231" t="s">
        <v>232</v>
      </c>
      <c r="C24" s="274" t="s">
        <v>145</v>
      </c>
      <c r="D24" s="285">
        <v>40</v>
      </c>
      <c r="E24" s="218"/>
      <c r="F24" s="219"/>
      <c r="G24" s="286"/>
      <c r="H24" s="304"/>
      <c r="I24" s="185">
        <v>40</v>
      </c>
      <c r="J24" s="185"/>
      <c r="K24" s="186"/>
      <c r="L24" s="185"/>
      <c r="M24" s="185"/>
      <c r="N24" s="185"/>
      <c r="O24" s="305"/>
      <c r="P24" s="318"/>
      <c r="Q24" s="191"/>
      <c r="R24" s="191"/>
      <c r="S24" s="191"/>
      <c r="T24" s="191"/>
      <c r="U24" s="232"/>
      <c r="V24" s="191"/>
      <c r="W24" s="192"/>
      <c r="X24" s="191"/>
      <c r="Y24" s="191"/>
      <c r="Z24" s="191"/>
      <c r="AA24" s="319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170" customFormat="1" ht="12" customHeight="1" x14ac:dyDescent="0.25">
      <c r="A25" s="273">
        <v>44598</v>
      </c>
      <c r="B25" s="231" t="s">
        <v>144</v>
      </c>
      <c r="C25" s="274" t="s">
        <v>145</v>
      </c>
      <c r="D25" s="285">
        <v>77.36</v>
      </c>
      <c r="E25" s="218"/>
      <c r="F25" s="219"/>
      <c r="G25" s="286"/>
      <c r="H25" s="304"/>
      <c r="I25" s="185">
        <v>77.36</v>
      </c>
      <c r="J25" s="185"/>
      <c r="K25" s="186"/>
      <c r="L25" s="185"/>
      <c r="M25" s="185"/>
      <c r="N25" s="185"/>
      <c r="O25" s="305"/>
      <c r="P25" s="318"/>
      <c r="Q25" s="191"/>
      <c r="R25" s="191"/>
      <c r="S25" s="191"/>
      <c r="T25" s="191"/>
      <c r="U25" s="232"/>
      <c r="V25" s="191"/>
      <c r="W25" s="192"/>
      <c r="X25" s="191"/>
      <c r="Y25" s="191"/>
      <c r="Z25" s="191"/>
      <c r="AA25" s="319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170" customFormat="1" ht="12" customHeight="1" x14ac:dyDescent="0.25">
      <c r="A26" s="273">
        <v>44599</v>
      </c>
      <c r="B26" s="231" t="s">
        <v>170</v>
      </c>
      <c r="C26" s="274" t="s">
        <v>145</v>
      </c>
      <c r="D26" s="285">
        <v>60</v>
      </c>
      <c r="E26" s="218"/>
      <c r="F26" s="219"/>
      <c r="G26" s="286"/>
      <c r="H26" s="304"/>
      <c r="I26" s="185">
        <v>60</v>
      </c>
      <c r="J26" s="185"/>
      <c r="K26" s="186"/>
      <c r="L26" s="185"/>
      <c r="M26" s="185"/>
      <c r="N26" s="185"/>
      <c r="O26" s="305"/>
      <c r="P26" s="318"/>
      <c r="Q26" s="191"/>
      <c r="R26" s="191"/>
      <c r="S26" s="191"/>
      <c r="T26" s="191"/>
      <c r="U26" s="232"/>
      <c r="V26" s="191"/>
      <c r="W26" s="192"/>
      <c r="X26" s="191"/>
      <c r="Y26" s="191"/>
      <c r="Z26" s="191"/>
      <c r="AA26" s="319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170" customFormat="1" ht="12" customHeight="1" x14ac:dyDescent="0.25">
      <c r="A27" s="273">
        <v>44599</v>
      </c>
      <c r="B27" s="231" t="s">
        <v>233</v>
      </c>
      <c r="C27" s="274" t="s">
        <v>145</v>
      </c>
      <c r="D27" s="285">
        <v>130</v>
      </c>
      <c r="E27" s="218"/>
      <c r="F27" s="219"/>
      <c r="G27" s="286"/>
      <c r="H27" s="304"/>
      <c r="I27" s="185">
        <v>130</v>
      </c>
      <c r="J27" s="185"/>
      <c r="K27" s="186"/>
      <c r="L27" s="185"/>
      <c r="M27" s="185"/>
      <c r="N27" s="185"/>
      <c r="O27" s="305"/>
      <c r="P27" s="318"/>
      <c r="Q27" s="191"/>
      <c r="R27" s="191"/>
      <c r="S27" s="191"/>
      <c r="T27" s="191"/>
      <c r="U27" s="232"/>
      <c r="V27" s="191"/>
      <c r="W27" s="192"/>
      <c r="X27" s="191"/>
      <c r="Y27" s="191"/>
      <c r="Z27" s="191"/>
      <c r="AA27" s="319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170" customFormat="1" ht="12" customHeight="1" x14ac:dyDescent="0.25">
      <c r="A28" s="273">
        <v>44600</v>
      </c>
      <c r="B28" s="231" t="s">
        <v>234</v>
      </c>
      <c r="C28" s="274" t="s">
        <v>145</v>
      </c>
      <c r="D28" s="285"/>
      <c r="E28" s="218">
        <v>913</v>
      </c>
      <c r="F28" s="219"/>
      <c r="G28" s="286"/>
      <c r="H28" s="304"/>
      <c r="I28" s="185"/>
      <c r="J28" s="185"/>
      <c r="K28" s="186"/>
      <c r="L28" s="185"/>
      <c r="M28" s="185"/>
      <c r="N28" s="185"/>
      <c r="O28" s="305"/>
      <c r="P28" s="318"/>
      <c r="Q28" s="191"/>
      <c r="R28" s="191"/>
      <c r="S28" s="191"/>
      <c r="T28" s="191">
        <v>913</v>
      </c>
      <c r="U28" s="232"/>
      <c r="V28" s="191"/>
      <c r="W28" s="192"/>
      <c r="X28" s="191"/>
      <c r="Y28" s="191"/>
      <c r="Z28" s="191"/>
      <c r="AA28" s="319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170" customFormat="1" ht="12" customHeight="1" x14ac:dyDescent="0.25">
      <c r="A29" s="273">
        <v>44600</v>
      </c>
      <c r="B29" s="231" t="s">
        <v>211</v>
      </c>
      <c r="C29" s="274" t="s">
        <v>145</v>
      </c>
      <c r="D29" s="285"/>
      <c r="E29" s="218">
        <v>9.9600000000000009</v>
      </c>
      <c r="F29" s="219"/>
      <c r="G29" s="286"/>
      <c r="H29" s="304"/>
      <c r="I29" s="185"/>
      <c r="J29" s="185"/>
      <c r="K29" s="186"/>
      <c r="L29" s="185"/>
      <c r="M29" s="185"/>
      <c r="N29" s="185"/>
      <c r="O29" s="305"/>
      <c r="P29" s="318"/>
      <c r="Q29" s="191"/>
      <c r="R29" s="191"/>
      <c r="S29" s="191"/>
      <c r="T29" s="191"/>
      <c r="U29" s="232"/>
      <c r="V29" s="191"/>
      <c r="W29" s="192"/>
      <c r="X29" s="191"/>
      <c r="Y29" s="191">
        <v>9.9600000000000009</v>
      </c>
      <c r="Z29" s="191"/>
      <c r="AA29" s="319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170" customFormat="1" ht="12" customHeight="1" x14ac:dyDescent="0.25">
      <c r="A30" s="273">
        <v>44602</v>
      </c>
      <c r="B30" s="231" t="s">
        <v>235</v>
      </c>
      <c r="C30" s="274" t="s">
        <v>145</v>
      </c>
      <c r="D30" s="285">
        <v>409.03</v>
      </c>
      <c r="E30" s="218"/>
      <c r="F30" s="219"/>
      <c r="G30" s="286">
        <v>409.03</v>
      </c>
      <c r="H30" s="304"/>
      <c r="I30" s="185"/>
      <c r="J30" s="185"/>
      <c r="K30" s="186"/>
      <c r="L30" s="185"/>
      <c r="M30" s="185"/>
      <c r="N30" s="185"/>
      <c r="O30" s="305"/>
      <c r="P30" s="318"/>
      <c r="Q30" s="191"/>
      <c r="R30" s="191"/>
      <c r="S30" s="191"/>
      <c r="T30" s="191"/>
      <c r="U30" s="232"/>
      <c r="V30" s="191"/>
      <c r="W30" s="192"/>
      <c r="X30" s="191"/>
      <c r="Y30" s="191"/>
      <c r="Z30" s="191"/>
      <c r="AA30" s="319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170" customFormat="1" ht="12" customHeight="1" x14ac:dyDescent="0.25">
      <c r="A31" s="273">
        <v>44603</v>
      </c>
      <c r="B31" s="231" t="s">
        <v>236</v>
      </c>
      <c r="C31" s="274" t="s">
        <v>145</v>
      </c>
      <c r="D31" s="285"/>
      <c r="E31" s="218"/>
      <c r="F31" s="219"/>
      <c r="G31" s="286">
        <v>7.08</v>
      </c>
      <c r="H31" s="304"/>
      <c r="I31" s="185"/>
      <c r="J31" s="185"/>
      <c r="K31" s="186"/>
      <c r="L31" s="185"/>
      <c r="M31" s="185"/>
      <c r="N31" s="185"/>
      <c r="O31" s="305"/>
      <c r="P31" s="318"/>
      <c r="Q31" s="191">
        <v>7.08</v>
      </c>
      <c r="R31" s="191"/>
      <c r="S31" s="191"/>
      <c r="T31" s="191"/>
      <c r="U31" s="232"/>
      <c r="V31" s="191"/>
      <c r="W31" s="192"/>
      <c r="X31" s="191"/>
      <c r="Y31" s="191"/>
      <c r="Z31" s="191"/>
      <c r="AA31" s="319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170" customFormat="1" ht="12" customHeight="1" x14ac:dyDescent="0.25">
      <c r="A32" s="273">
        <v>44603</v>
      </c>
      <c r="B32" s="231" t="s">
        <v>237</v>
      </c>
      <c r="C32" s="274" t="s">
        <v>145</v>
      </c>
      <c r="D32" s="285"/>
      <c r="E32" s="218"/>
      <c r="F32" s="219"/>
      <c r="G32" s="286">
        <v>32</v>
      </c>
      <c r="H32" s="304"/>
      <c r="I32" s="185"/>
      <c r="J32" s="185"/>
      <c r="K32" s="186"/>
      <c r="L32" s="185"/>
      <c r="M32" s="185"/>
      <c r="N32" s="185"/>
      <c r="O32" s="305"/>
      <c r="P32" s="318"/>
      <c r="Q32" s="191"/>
      <c r="R32" s="191"/>
      <c r="S32" s="191"/>
      <c r="T32" s="191">
        <v>32</v>
      </c>
      <c r="U32" s="232"/>
      <c r="V32" s="191"/>
      <c r="W32" s="192"/>
      <c r="X32" s="191"/>
      <c r="Y32" s="191"/>
      <c r="Z32" s="191"/>
      <c r="AA32" s="319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170" customFormat="1" ht="12" customHeight="1" x14ac:dyDescent="0.25">
      <c r="A33" s="273">
        <v>44603</v>
      </c>
      <c r="B33" s="231" t="s">
        <v>238</v>
      </c>
      <c r="C33" s="274" t="s">
        <v>145</v>
      </c>
      <c r="D33" s="285">
        <v>31</v>
      </c>
      <c r="E33" s="218"/>
      <c r="F33" s="219"/>
      <c r="G33" s="286"/>
      <c r="H33" s="304"/>
      <c r="I33" s="185"/>
      <c r="J33" s="185"/>
      <c r="K33" s="186">
        <v>31</v>
      </c>
      <c r="L33" s="185"/>
      <c r="M33" s="185"/>
      <c r="N33" s="185"/>
      <c r="O33" s="305"/>
      <c r="P33" s="318"/>
      <c r="Q33" s="191"/>
      <c r="R33" s="191"/>
      <c r="S33" s="191"/>
      <c r="T33" s="191"/>
      <c r="U33" s="232"/>
      <c r="V33" s="191"/>
      <c r="W33" s="192"/>
      <c r="X33" s="191"/>
      <c r="Y33" s="191"/>
      <c r="Z33" s="191"/>
      <c r="AA33" s="319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170" customFormat="1" ht="12" customHeight="1" x14ac:dyDescent="0.25">
      <c r="A34" s="273">
        <v>44603</v>
      </c>
      <c r="B34" s="231" t="s">
        <v>239</v>
      </c>
      <c r="C34" s="274" t="s">
        <v>145</v>
      </c>
      <c r="D34" s="285"/>
      <c r="E34" s="218"/>
      <c r="F34" s="219">
        <v>18</v>
      </c>
      <c r="G34" s="286"/>
      <c r="H34" s="304"/>
      <c r="I34" s="185"/>
      <c r="J34" s="185"/>
      <c r="K34" s="186">
        <v>18</v>
      </c>
      <c r="L34" s="185"/>
      <c r="M34" s="185"/>
      <c r="N34" s="185"/>
      <c r="O34" s="305"/>
      <c r="P34" s="318"/>
      <c r="Q34" s="191"/>
      <c r="R34" s="191"/>
      <c r="S34" s="191"/>
      <c r="T34" s="191"/>
      <c r="U34" s="232"/>
      <c r="V34" s="191"/>
      <c r="W34" s="192"/>
      <c r="X34" s="191"/>
      <c r="Y34" s="191"/>
      <c r="Z34" s="191"/>
      <c r="AA34" s="319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170" customFormat="1" ht="12" customHeight="1" x14ac:dyDescent="0.25">
      <c r="A35" s="273">
        <v>44603</v>
      </c>
      <c r="B35" s="231" t="s">
        <v>240</v>
      </c>
      <c r="C35" s="274" t="s">
        <v>145</v>
      </c>
      <c r="D35" s="285">
        <v>57</v>
      </c>
      <c r="E35" s="218"/>
      <c r="F35" s="219"/>
      <c r="G35" s="286"/>
      <c r="H35" s="304"/>
      <c r="I35" s="185"/>
      <c r="J35" s="185"/>
      <c r="K35" s="186">
        <v>57</v>
      </c>
      <c r="L35" s="185"/>
      <c r="M35" s="185"/>
      <c r="N35" s="185"/>
      <c r="O35" s="305"/>
      <c r="P35" s="318"/>
      <c r="Q35" s="191"/>
      <c r="R35" s="191"/>
      <c r="S35" s="191"/>
      <c r="T35" s="191"/>
      <c r="U35" s="232"/>
      <c r="V35" s="191"/>
      <c r="W35" s="192"/>
      <c r="X35" s="191"/>
      <c r="Y35" s="191"/>
      <c r="Z35" s="191"/>
      <c r="AA35" s="319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170" customFormat="1" ht="12" customHeight="1" x14ac:dyDescent="0.25">
      <c r="A36" s="273">
        <v>44603</v>
      </c>
      <c r="B36" s="231" t="s">
        <v>241</v>
      </c>
      <c r="C36" s="274" t="s">
        <v>145</v>
      </c>
      <c r="D36" s="285">
        <v>8.5</v>
      </c>
      <c r="E36" s="218"/>
      <c r="F36" s="219"/>
      <c r="G36" s="286"/>
      <c r="H36" s="304"/>
      <c r="I36" s="185"/>
      <c r="J36" s="185"/>
      <c r="K36" s="186">
        <v>8.5</v>
      </c>
      <c r="L36" s="185"/>
      <c r="M36" s="185"/>
      <c r="N36" s="185"/>
      <c r="O36" s="305"/>
      <c r="P36" s="318"/>
      <c r="Q36" s="191"/>
      <c r="R36" s="191"/>
      <c r="S36" s="191"/>
      <c r="T36" s="191"/>
      <c r="U36" s="232"/>
      <c r="V36" s="191"/>
      <c r="W36" s="192"/>
      <c r="X36" s="191"/>
      <c r="Y36" s="191"/>
      <c r="Z36" s="191"/>
      <c r="AA36" s="319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170" customFormat="1" ht="12" customHeight="1" x14ac:dyDescent="0.25">
      <c r="A37" s="273">
        <v>44603</v>
      </c>
      <c r="B37" s="231" t="s">
        <v>242</v>
      </c>
      <c r="C37" s="274" t="s">
        <v>145</v>
      </c>
      <c r="D37" s="285">
        <v>26.5</v>
      </c>
      <c r="E37" s="218"/>
      <c r="F37" s="219"/>
      <c r="G37" s="286"/>
      <c r="H37" s="304"/>
      <c r="I37" s="185"/>
      <c r="J37" s="185"/>
      <c r="K37" s="186">
        <v>26.5</v>
      </c>
      <c r="L37" s="185"/>
      <c r="M37" s="185"/>
      <c r="N37" s="185"/>
      <c r="O37" s="305"/>
      <c r="P37" s="318"/>
      <c r="Q37" s="191"/>
      <c r="R37" s="191"/>
      <c r="S37" s="191"/>
      <c r="T37" s="191"/>
      <c r="U37" s="232"/>
      <c r="V37" s="191"/>
      <c r="W37" s="192"/>
      <c r="X37" s="191"/>
      <c r="Y37" s="191"/>
      <c r="Z37" s="191"/>
      <c r="AA37" s="319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170" customFormat="1" ht="12" customHeight="1" x14ac:dyDescent="0.25">
      <c r="A38" s="273">
        <v>44603</v>
      </c>
      <c r="B38" s="231" t="s">
        <v>243</v>
      </c>
      <c r="C38" s="274" t="s">
        <v>145</v>
      </c>
      <c r="D38" s="285"/>
      <c r="E38" s="218"/>
      <c r="F38" s="219">
        <v>1</v>
      </c>
      <c r="G38" s="286"/>
      <c r="H38" s="304"/>
      <c r="I38" s="185"/>
      <c r="J38" s="185"/>
      <c r="K38" s="186">
        <v>1</v>
      </c>
      <c r="L38" s="185"/>
      <c r="M38" s="185"/>
      <c r="N38" s="185"/>
      <c r="O38" s="305"/>
      <c r="P38" s="318"/>
      <c r="Q38" s="191"/>
      <c r="R38" s="191"/>
      <c r="S38" s="191"/>
      <c r="T38" s="191"/>
      <c r="U38" s="232"/>
      <c r="V38" s="191"/>
      <c r="W38" s="192"/>
      <c r="X38" s="191"/>
      <c r="Y38" s="191"/>
      <c r="Z38" s="191"/>
      <c r="AA38" s="319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170" customFormat="1" ht="12" customHeight="1" x14ac:dyDescent="0.25">
      <c r="A39" s="273">
        <v>44603</v>
      </c>
      <c r="B39" s="231" t="s">
        <v>244</v>
      </c>
      <c r="C39" s="274" t="s">
        <v>145</v>
      </c>
      <c r="D39" s="285"/>
      <c r="E39" s="218"/>
      <c r="F39" s="219">
        <v>141.19999999999999</v>
      </c>
      <c r="G39" s="286"/>
      <c r="H39" s="304"/>
      <c r="I39" s="185"/>
      <c r="J39" s="185"/>
      <c r="K39" s="186">
        <v>141.19999999999999</v>
      </c>
      <c r="L39" s="185"/>
      <c r="M39" s="185"/>
      <c r="N39" s="185"/>
      <c r="O39" s="305"/>
      <c r="P39" s="318"/>
      <c r="Q39" s="191"/>
      <c r="R39" s="191"/>
      <c r="S39" s="191"/>
      <c r="T39" s="191"/>
      <c r="U39" s="232"/>
      <c r="V39" s="191"/>
      <c r="W39" s="192"/>
      <c r="X39" s="191"/>
      <c r="Y39" s="191"/>
      <c r="Z39" s="191"/>
      <c r="AA39" s="319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170" customFormat="1" ht="12" customHeight="1" x14ac:dyDescent="0.25">
      <c r="A40" s="273">
        <v>44603</v>
      </c>
      <c r="B40" s="231" t="s">
        <v>245</v>
      </c>
      <c r="C40" s="274" t="s">
        <v>145</v>
      </c>
      <c r="D40" s="285"/>
      <c r="E40" s="218"/>
      <c r="F40" s="219">
        <v>30</v>
      </c>
      <c r="G40" s="286"/>
      <c r="H40" s="304"/>
      <c r="I40" s="185"/>
      <c r="J40" s="185"/>
      <c r="K40" s="186">
        <v>30</v>
      </c>
      <c r="L40" s="185"/>
      <c r="M40" s="185"/>
      <c r="N40" s="185"/>
      <c r="O40" s="305"/>
      <c r="P40" s="318"/>
      <c r="Q40" s="191"/>
      <c r="R40" s="191"/>
      <c r="S40" s="191"/>
      <c r="T40" s="191"/>
      <c r="U40" s="232"/>
      <c r="V40" s="191"/>
      <c r="W40" s="192"/>
      <c r="X40" s="191"/>
      <c r="Y40" s="191"/>
      <c r="Z40" s="191"/>
      <c r="AA40" s="319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170" customFormat="1" ht="12" customHeight="1" x14ac:dyDescent="0.25">
      <c r="A41" s="273">
        <v>44603</v>
      </c>
      <c r="B41" s="231" t="s">
        <v>246</v>
      </c>
      <c r="C41" s="274" t="s">
        <v>145</v>
      </c>
      <c r="D41" s="285"/>
      <c r="E41" s="218"/>
      <c r="F41" s="219">
        <v>25</v>
      </c>
      <c r="G41" s="286"/>
      <c r="H41" s="304"/>
      <c r="I41" s="185"/>
      <c r="J41" s="185"/>
      <c r="K41" s="186">
        <v>25</v>
      </c>
      <c r="L41" s="185"/>
      <c r="M41" s="185"/>
      <c r="N41" s="185"/>
      <c r="O41" s="305"/>
      <c r="P41" s="318"/>
      <c r="Q41" s="191"/>
      <c r="R41" s="191"/>
      <c r="S41" s="191"/>
      <c r="T41" s="191"/>
      <c r="U41" s="232"/>
      <c r="V41" s="191"/>
      <c r="W41" s="192"/>
      <c r="X41" s="191"/>
      <c r="Y41" s="191"/>
      <c r="Z41" s="191"/>
      <c r="AA41" s="319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44603</v>
      </c>
      <c r="B42" s="231" t="s">
        <v>247</v>
      </c>
      <c r="C42" s="274" t="s">
        <v>145</v>
      </c>
      <c r="D42" s="285">
        <v>108</v>
      </c>
      <c r="E42" s="218"/>
      <c r="F42" s="219"/>
      <c r="G42" s="286"/>
      <c r="H42" s="304"/>
      <c r="I42" s="185"/>
      <c r="J42" s="185"/>
      <c r="K42" s="186">
        <v>108</v>
      </c>
      <c r="L42" s="185"/>
      <c r="M42" s="185"/>
      <c r="N42" s="185"/>
      <c r="O42" s="305"/>
      <c r="P42" s="318"/>
      <c r="Q42" s="191"/>
      <c r="R42" s="191"/>
      <c r="S42" s="191"/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170" customFormat="1" ht="12" customHeight="1" x14ac:dyDescent="0.25">
      <c r="A43" s="273">
        <v>44603</v>
      </c>
      <c r="B43" s="231" t="s">
        <v>248</v>
      </c>
      <c r="C43" s="274" t="s">
        <v>145</v>
      </c>
      <c r="D43" s="285"/>
      <c r="E43" s="218"/>
      <c r="F43" s="219">
        <v>19.5</v>
      </c>
      <c r="G43" s="286"/>
      <c r="H43" s="304"/>
      <c r="I43" s="185"/>
      <c r="J43" s="185"/>
      <c r="K43" s="186">
        <v>19.5</v>
      </c>
      <c r="L43" s="185"/>
      <c r="M43" s="185"/>
      <c r="N43" s="185"/>
      <c r="O43" s="305"/>
      <c r="P43" s="318"/>
      <c r="Q43" s="191"/>
      <c r="R43" s="191"/>
      <c r="S43" s="191"/>
      <c r="T43" s="191"/>
      <c r="U43" s="232"/>
      <c r="V43" s="191"/>
      <c r="W43" s="192"/>
      <c r="X43" s="191"/>
      <c r="Y43" s="191"/>
      <c r="Z43" s="191"/>
      <c r="AA43" s="319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170" customFormat="1" ht="12" customHeight="1" x14ac:dyDescent="0.25">
      <c r="A44" s="273">
        <v>44604</v>
      </c>
      <c r="B44" s="231" t="s">
        <v>249</v>
      </c>
      <c r="C44" s="274" t="s">
        <v>145</v>
      </c>
      <c r="D44" s="285">
        <v>30</v>
      </c>
      <c r="E44" s="218"/>
      <c r="F44" s="219"/>
      <c r="G44" s="286"/>
      <c r="H44" s="304"/>
      <c r="I44" s="185">
        <v>30</v>
      </c>
      <c r="J44" s="185"/>
      <c r="K44" s="186"/>
      <c r="L44" s="185"/>
      <c r="M44" s="185"/>
      <c r="N44" s="185"/>
      <c r="O44" s="305"/>
      <c r="P44" s="318"/>
      <c r="Q44" s="191"/>
      <c r="R44" s="191"/>
      <c r="S44" s="191"/>
      <c r="T44" s="191"/>
      <c r="U44" s="232"/>
      <c r="V44" s="191"/>
      <c r="W44" s="192"/>
      <c r="X44" s="191"/>
      <c r="Y44" s="191"/>
      <c r="Z44" s="191"/>
      <c r="AA44" s="319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170" customFormat="1" ht="12" customHeight="1" x14ac:dyDescent="0.25">
      <c r="A45" s="273">
        <v>44604</v>
      </c>
      <c r="B45" s="231" t="s">
        <v>250</v>
      </c>
      <c r="C45" s="274" t="s">
        <v>145</v>
      </c>
      <c r="D45" s="285">
        <v>120</v>
      </c>
      <c r="E45" s="218"/>
      <c r="F45" s="219"/>
      <c r="G45" s="286"/>
      <c r="H45" s="304"/>
      <c r="I45" s="185">
        <v>120</v>
      </c>
      <c r="J45" s="185"/>
      <c r="K45" s="186"/>
      <c r="L45" s="185"/>
      <c r="M45" s="185"/>
      <c r="N45" s="185"/>
      <c r="O45" s="305"/>
      <c r="P45" s="318"/>
      <c r="Q45" s="191"/>
      <c r="R45" s="191"/>
      <c r="S45" s="191"/>
      <c r="T45" s="191"/>
      <c r="U45" s="232"/>
      <c r="V45" s="191"/>
      <c r="W45" s="192"/>
      <c r="X45" s="191"/>
      <c r="Y45" s="191"/>
      <c r="Z45" s="191"/>
      <c r="AA45" s="319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170" customFormat="1" ht="12" customHeight="1" x14ac:dyDescent="0.25">
      <c r="A46" s="273">
        <v>44605</v>
      </c>
      <c r="B46" s="231" t="s">
        <v>251</v>
      </c>
      <c r="C46" s="274" t="s">
        <v>145</v>
      </c>
      <c r="D46" s="285"/>
      <c r="E46" s="218">
        <v>47.39</v>
      </c>
      <c r="F46" s="219"/>
      <c r="G46" s="286"/>
      <c r="H46" s="304"/>
      <c r="I46" s="185"/>
      <c r="J46" s="185"/>
      <c r="K46" s="186"/>
      <c r="L46" s="185"/>
      <c r="M46" s="185"/>
      <c r="N46" s="185"/>
      <c r="O46" s="305"/>
      <c r="P46" s="318"/>
      <c r="Q46" s="191"/>
      <c r="R46" s="191"/>
      <c r="S46" s="191">
        <v>47.39</v>
      </c>
      <c r="T46" s="191"/>
      <c r="U46" s="232"/>
      <c r="V46" s="191"/>
      <c r="W46" s="192"/>
      <c r="X46" s="191"/>
      <c r="Y46" s="191"/>
      <c r="Z46" s="191"/>
      <c r="AA46" s="319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170" customFormat="1" ht="12" customHeight="1" x14ac:dyDescent="0.25">
      <c r="A47" s="273">
        <v>44605</v>
      </c>
      <c r="B47" s="231" t="s">
        <v>252</v>
      </c>
      <c r="C47" s="274" t="s">
        <v>145</v>
      </c>
      <c r="D47" s="285"/>
      <c r="E47" s="218">
        <v>69.72</v>
      </c>
      <c r="F47" s="219"/>
      <c r="G47" s="286"/>
      <c r="H47" s="304"/>
      <c r="I47" s="185"/>
      <c r="J47" s="185"/>
      <c r="K47" s="186"/>
      <c r="L47" s="185"/>
      <c r="M47" s="185"/>
      <c r="N47" s="185"/>
      <c r="O47" s="305"/>
      <c r="P47" s="318"/>
      <c r="Q47" s="191"/>
      <c r="R47" s="191"/>
      <c r="S47" s="191">
        <v>69.72</v>
      </c>
      <c r="T47" s="191"/>
      <c r="U47" s="232"/>
      <c r="V47" s="191"/>
      <c r="W47" s="192"/>
      <c r="X47" s="191"/>
      <c r="Y47" s="191"/>
      <c r="Z47" s="191"/>
      <c r="AA47" s="319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170" customFormat="1" ht="12" customHeight="1" x14ac:dyDescent="0.25">
      <c r="A48" s="273">
        <v>44608</v>
      </c>
      <c r="B48" s="231" t="s">
        <v>267</v>
      </c>
      <c r="C48" s="274" t="s">
        <v>145</v>
      </c>
      <c r="D48" s="285"/>
      <c r="E48" s="218"/>
      <c r="F48" s="219"/>
      <c r="G48" s="286">
        <v>110.32</v>
      </c>
      <c r="H48" s="304"/>
      <c r="I48" s="185"/>
      <c r="J48" s="185"/>
      <c r="K48" s="186"/>
      <c r="L48" s="185"/>
      <c r="M48" s="185"/>
      <c r="N48" s="185"/>
      <c r="O48" s="305"/>
      <c r="P48" s="318"/>
      <c r="Q48" s="191"/>
      <c r="R48" s="191"/>
      <c r="S48" s="191"/>
      <c r="T48" s="191"/>
      <c r="U48" s="232"/>
      <c r="V48" s="191">
        <v>110.32</v>
      </c>
      <c r="W48" s="192"/>
      <c r="X48" s="191"/>
      <c r="Y48" s="191"/>
      <c r="Z48" s="191"/>
      <c r="AA48" s="319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170" customFormat="1" ht="12" customHeight="1" x14ac:dyDescent="0.25">
      <c r="A49" s="273">
        <v>44610</v>
      </c>
      <c r="B49" s="231" t="s">
        <v>253</v>
      </c>
      <c r="C49" s="274" t="s">
        <v>145</v>
      </c>
      <c r="D49" s="285"/>
      <c r="E49" s="218">
        <v>17.5</v>
      </c>
      <c r="F49" s="219"/>
      <c r="G49" s="286"/>
      <c r="H49" s="304"/>
      <c r="I49" s="185"/>
      <c r="J49" s="185"/>
      <c r="K49" s="186"/>
      <c r="L49" s="185"/>
      <c r="M49" s="185"/>
      <c r="N49" s="185"/>
      <c r="O49" s="305"/>
      <c r="P49" s="318"/>
      <c r="Q49" s="191"/>
      <c r="R49" s="191"/>
      <c r="S49" s="191"/>
      <c r="T49" s="191">
        <v>17.5</v>
      </c>
      <c r="U49" s="232"/>
      <c r="V49" s="191"/>
      <c r="W49" s="192"/>
      <c r="X49" s="191"/>
      <c r="Y49" s="191"/>
      <c r="Z49" s="191"/>
      <c r="AA49" s="319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44610</v>
      </c>
      <c r="B50" s="231" t="s">
        <v>254</v>
      </c>
      <c r="C50" s="274" t="s">
        <v>145</v>
      </c>
      <c r="D50" s="285"/>
      <c r="E50" s="218">
        <v>214</v>
      </c>
      <c r="F50" s="219"/>
      <c r="G50" s="286"/>
      <c r="H50" s="304"/>
      <c r="I50" s="185"/>
      <c r="J50" s="185"/>
      <c r="K50" s="186"/>
      <c r="L50" s="185"/>
      <c r="M50" s="185"/>
      <c r="N50" s="185"/>
      <c r="O50" s="305"/>
      <c r="P50" s="318"/>
      <c r="Q50" s="191"/>
      <c r="R50" s="191"/>
      <c r="S50" s="191">
        <v>214</v>
      </c>
      <c r="T50" s="191"/>
      <c r="U50" s="232"/>
      <c r="V50" s="191"/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170" customFormat="1" ht="12" customHeight="1" x14ac:dyDescent="0.25">
      <c r="A51" s="273">
        <v>44610</v>
      </c>
      <c r="B51" s="231" t="s">
        <v>255</v>
      </c>
      <c r="C51" s="274" t="s">
        <v>145</v>
      </c>
      <c r="D51" s="285"/>
      <c r="E51" s="218">
        <v>6.74</v>
      </c>
      <c r="F51" s="219"/>
      <c r="G51" s="286"/>
      <c r="H51" s="304"/>
      <c r="I51" s="185"/>
      <c r="J51" s="185"/>
      <c r="K51" s="186"/>
      <c r="L51" s="185"/>
      <c r="M51" s="185"/>
      <c r="N51" s="185"/>
      <c r="O51" s="305"/>
      <c r="P51" s="318"/>
      <c r="Q51" s="191">
        <v>6.74</v>
      </c>
      <c r="R51" s="191"/>
      <c r="S51" s="191"/>
      <c r="T51" s="191"/>
      <c r="U51" s="232"/>
      <c r="V51" s="191"/>
      <c r="W51" s="192"/>
      <c r="X51" s="191"/>
      <c r="Y51" s="191"/>
      <c r="Z51" s="191"/>
      <c r="AA51" s="319"/>
      <c r="AB51" s="168"/>
      <c r="AC51" s="168"/>
      <c r="AD51" s="168"/>
      <c r="AE51" s="168"/>
      <c r="AF51" s="168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</row>
    <row r="52" spans="1:115" s="170" customFormat="1" ht="12" customHeight="1" x14ac:dyDescent="0.25">
      <c r="A52" s="273">
        <v>44613</v>
      </c>
      <c r="B52" s="231" t="s">
        <v>258</v>
      </c>
      <c r="C52" s="274" t="s">
        <v>145</v>
      </c>
      <c r="D52" s="285">
        <v>50</v>
      </c>
      <c r="E52" s="218"/>
      <c r="F52" s="219"/>
      <c r="G52" s="286"/>
      <c r="H52" s="304"/>
      <c r="I52" s="185">
        <v>50</v>
      </c>
      <c r="J52" s="185"/>
      <c r="K52" s="186"/>
      <c r="L52" s="185"/>
      <c r="M52" s="185"/>
      <c r="N52" s="185"/>
      <c r="O52" s="305"/>
      <c r="P52" s="318"/>
      <c r="Q52" s="191"/>
      <c r="R52" s="191"/>
      <c r="S52" s="191"/>
      <c r="T52" s="191"/>
      <c r="U52" s="232"/>
      <c r="V52" s="191"/>
      <c r="W52" s="192"/>
      <c r="X52" s="191"/>
      <c r="Y52" s="191"/>
      <c r="Z52" s="191"/>
      <c r="AA52" s="319"/>
      <c r="AB52" s="168"/>
      <c r="AC52" s="168"/>
      <c r="AD52" s="168"/>
      <c r="AE52" s="168"/>
      <c r="AF52" s="168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</row>
    <row r="53" spans="1:115" s="170" customFormat="1" ht="12" customHeight="1" x14ac:dyDescent="0.25">
      <c r="A53" s="273">
        <v>44614</v>
      </c>
      <c r="B53" s="231" t="s">
        <v>259</v>
      </c>
      <c r="C53" s="274" t="s">
        <v>145</v>
      </c>
      <c r="D53" s="285"/>
      <c r="E53" s="218"/>
      <c r="F53" s="219">
        <v>12.2</v>
      </c>
      <c r="G53" s="286"/>
      <c r="H53" s="304"/>
      <c r="I53" s="185"/>
      <c r="J53" s="185"/>
      <c r="K53" s="219">
        <v>12.2</v>
      </c>
      <c r="L53" s="185"/>
      <c r="M53" s="185"/>
      <c r="N53" s="185"/>
      <c r="O53" s="305"/>
      <c r="P53" s="318"/>
      <c r="Q53" s="191"/>
      <c r="R53" s="191"/>
      <c r="S53" s="191"/>
      <c r="T53" s="191"/>
      <c r="U53" s="232"/>
      <c r="V53" s="191"/>
      <c r="W53" s="192"/>
      <c r="X53" s="191"/>
      <c r="Y53" s="191"/>
      <c r="Z53" s="191"/>
      <c r="AA53" s="319"/>
      <c r="AB53" s="168"/>
      <c r="AC53" s="168"/>
      <c r="AD53" s="168"/>
      <c r="AE53" s="168"/>
      <c r="AF53" s="168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</row>
    <row r="54" spans="1:115" s="170" customFormat="1" ht="12" customHeight="1" x14ac:dyDescent="0.25">
      <c r="A54" s="273">
        <v>44614</v>
      </c>
      <c r="B54" s="231" t="s">
        <v>260</v>
      </c>
      <c r="C54" s="274" t="s">
        <v>145</v>
      </c>
      <c r="D54" s="285"/>
      <c r="E54" s="218"/>
      <c r="F54" s="219">
        <v>15</v>
      </c>
      <c r="G54" s="286"/>
      <c r="H54" s="304"/>
      <c r="I54" s="185"/>
      <c r="J54" s="185"/>
      <c r="K54" s="219">
        <v>15</v>
      </c>
      <c r="L54" s="185"/>
      <c r="M54" s="185"/>
      <c r="N54" s="185"/>
      <c r="O54" s="305"/>
      <c r="P54" s="318"/>
      <c r="Q54" s="191"/>
      <c r="R54" s="191"/>
      <c r="S54" s="191"/>
      <c r="T54" s="191"/>
      <c r="U54" s="232"/>
      <c r="V54" s="191"/>
      <c r="W54" s="192"/>
      <c r="X54" s="191"/>
      <c r="Y54" s="191"/>
      <c r="Z54" s="191"/>
      <c r="AA54" s="319"/>
      <c r="AB54" s="168"/>
      <c r="AC54" s="168"/>
      <c r="AD54" s="168"/>
      <c r="AE54" s="168"/>
      <c r="AF54" s="168"/>
      <c r="AG54" s="168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</row>
    <row r="55" spans="1:115" s="170" customFormat="1" ht="12" customHeight="1" x14ac:dyDescent="0.25">
      <c r="A55" s="273">
        <v>44614</v>
      </c>
      <c r="B55" s="231" t="s">
        <v>261</v>
      </c>
      <c r="C55" s="274" t="s">
        <v>145</v>
      </c>
      <c r="D55" s="285">
        <v>110.5</v>
      </c>
      <c r="E55" s="218"/>
      <c r="F55" s="219"/>
      <c r="G55" s="286"/>
      <c r="H55" s="304"/>
      <c r="I55" s="185"/>
      <c r="J55" s="185"/>
      <c r="K55" s="219">
        <v>110.5</v>
      </c>
      <c r="L55" s="185"/>
      <c r="M55" s="185"/>
      <c r="N55" s="185"/>
      <c r="O55" s="305"/>
      <c r="P55" s="318"/>
      <c r="Q55" s="191"/>
      <c r="R55" s="191"/>
      <c r="S55" s="191"/>
      <c r="T55" s="191"/>
      <c r="U55" s="232"/>
      <c r="V55" s="191"/>
      <c r="W55" s="192"/>
      <c r="X55" s="191"/>
      <c r="Y55" s="191"/>
      <c r="Z55" s="191"/>
      <c r="AA55" s="319"/>
      <c r="AB55" s="168"/>
      <c r="AC55" s="168"/>
      <c r="AD55" s="168"/>
      <c r="AE55" s="168"/>
      <c r="AF55" s="168"/>
      <c r="AG55" s="168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</row>
    <row r="56" spans="1:115" s="170" customFormat="1" ht="12" customHeight="1" x14ac:dyDescent="0.25">
      <c r="A56" s="273">
        <v>44614</v>
      </c>
      <c r="B56" s="231" t="s">
        <v>262</v>
      </c>
      <c r="C56" s="274" t="s">
        <v>145</v>
      </c>
      <c r="D56" s="285"/>
      <c r="E56" s="218"/>
      <c r="F56" s="219">
        <v>12</v>
      </c>
      <c r="G56" s="286"/>
      <c r="H56" s="304"/>
      <c r="I56" s="185"/>
      <c r="J56" s="185"/>
      <c r="K56" s="219">
        <v>12</v>
      </c>
      <c r="L56" s="185"/>
      <c r="M56" s="185"/>
      <c r="N56" s="185"/>
      <c r="O56" s="305"/>
      <c r="P56" s="318"/>
      <c r="Q56" s="191"/>
      <c r="R56" s="191"/>
      <c r="S56" s="191"/>
      <c r="T56" s="191"/>
      <c r="U56" s="232"/>
      <c r="V56" s="191"/>
      <c r="W56" s="192"/>
      <c r="X56" s="191"/>
      <c r="Y56" s="191"/>
      <c r="Z56" s="191"/>
      <c r="AA56" s="319"/>
      <c r="AB56" s="168"/>
      <c r="AC56" s="168"/>
      <c r="AD56" s="168"/>
      <c r="AE56" s="168"/>
      <c r="AF56" s="168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</row>
    <row r="57" spans="1:115" s="170" customFormat="1" ht="12" customHeight="1" x14ac:dyDescent="0.25">
      <c r="A57" s="273">
        <v>44614</v>
      </c>
      <c r="B57" s="231" t="s">
        <v>263</v>
      </c>
      <c r="C57" s="274" t="s">
        <v>145</v>
      </c>
      <c r="D57" s="285"/>
      <c r="E57" s="218"/>
      <c r="F57" s="219"/>
      <c r="G57" s="286">
        <v>23.99</v>
      </c>
      <c r="H57" s="304"/>
      <c r="I57" s="185"/>
      <c r="J57" s="185"/>
      <c r="K57" s="186"/>
      <c r="L57" s="185"/>
      <c r="M57" s="185"/>
      <c r="N57" s="185"/>
      <c r="O57" s="305"/>
      <c r="P57" s="318"/>
      <c r="Q57" s="191">
        <v>23.99</v>
      </c>
      <c r="R57" s="191"/>
      <c r="S57" s="191"/>
      <c r="T57" s="191"/>
      <c r="U57" s="232"/>
      <c r="V57" s="191"/>
      <c r="W57" s="192"/>
      <c r="X57" s="191"/>
      <c r="Y57" s="191"/>
      <c r="Z57" s="191"/>
      <c r="AA57" s="319"/>
      <c r="AB57" s="168"/>
      <c r="AC57" s="168"/>
      <c r="AD57" s="168"/>
      <c r="AE57" s="168"/>
      <c r="AF57" s="168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</row>
    <row r="58" spans="1:115" s="170" customFormat="1" ht="12" customHeight="1" x14ac:dyDescent="0.25">
      <c r="A58" s="273">
        <v>44614</v>
      </c>
      <c r="B58" s="231" t="s">
        <v>265</v>
      </c>
      <c r="C58" s="274" t="s">
        <v>145</v>
      </c>
      <c r="D58" s="285"/>
      <c r="E58" s="218">
        <v>3.4</v>
      </c>
      <c r="F58" s="219"/>
      <c r="G58" s="286"/>
      <c r="H58" s="304"/>
      <c r="I58" s="185"/>
      <c r="J58" s="185"/>
      <c r="K58" s="186"/>
      <c r="L58" s="185"/>
      <c r="M58" s="185"/>
      <c r="N58" s="185"/>
      <c r="O58" s="305"/>
      <c r="P58" s="318"/>
      <c r="Q58" s="191"/>
      <c r="R58" s="191"/>
      <c r="S58" s="191">
        <v>3.4</v>
      </c>
      <c r="T58" s="191"/>
      <c r="U58" s="232"/>
      <c r="V58" s="191"/>
      <c r="W58" s="192"/>
      <c r="X58" s="191"/>
      <c r="Y58" s="191"/>
      <c r="Z58" s="191"/>
      <c r="AA58" s="319"/>
      <c r="AB58" s="168"/>
      <c r="AC58" s="168"/>
      <c r="AD58" s="168"/>
      <c r="AE58" s="168"/>
      <c r="AF58" s="168"/>
      <c r="AG58" s="168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</row>
    <row r="59" spans="1:115" s="170" customFormat="1" ht="12" customHeight="1" x14ac:dyDescent="0.25">
      <c r="A59" s="273">
        <v>44614</v>
      </c>
      <c r="B59" s="231" t="s">
        <v>264</v>
      </c>
      <c r="C59" s="274" t="s">
        <v>145</v>
      </c>
      <c r="D59" s="285"/>
      <c r="E59" s="218">
        <v>2.0499999999999998</v>
      </c>
      <c r="F59" s="219"/>
      <c r="G59" s="286"/>
      <c r="H59" s="304"/>
      <c r="I59" s="185"/>
      <c r="J59" s="185"/>
      <c r="K59" s="186"/>
      <c r="L59" s="185"/>
      <c r="M59" s="185"/>
      <c r="N59" s="185"/>
      <c r="O59" s="305"/>
      <c r="P59" s="318"/>
      <c r="Q59" s="191"/>
      <c r="R59" s="191"/>
      <c r="S59" s="191">
        <v>2.0499999999999998</v>
      </c>
      <c r="T59" s="191"/>
      <c r="U59" s="232"/>
      <c r="V59" s="191"/>
      <c r="W59" s="192"/>
      <c r="X59" s="191"/>
      <c r="Y59" s="191"/>
      <c r="Z59" s="191"/>
      <c r="AA59" s="319"/>
      <c r="AB59" s="168"/>
      <c r="AC59" s="168"/>
      <c r="AD59" s="168"/>
      <c r="AE59" s="168"/>
      <c r="AF59" s="168"/>
      <c r="AG59" s="168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</row>
    <row r="60" spans="1:115" s="170" customFormat="1" ht="12" customHeight="1" x14ac:dyDescent="0.25">
      <c r="A60" s="273">
        <v>44614</v>
      </c>
      <c r="B60" s="231" t="s">
        <v>266</v>
      </c>
      <c r="C60" s="274" t="s">
        <v>145</v>
      </c>
      <c r="D60" s="285"/>
      <c r="E60" s="218">
        <v>15</v>
      </c>
      <c r="F60" s="219"/>
      <c r="G60" s="286"/>
      <c r="H60" s="304"/>
      <c r="I60" s="185"/>
      <c r="J60" s="185"/>
      <c r="K60" s="186"/>
      <c r="L60" s="185"/>
      <c r="M60" s="185"/>
      <c r="N60" s="185"/>
      <c r="O60" s="305"/>
      <c r="P60" s="318"/>
      <c r="Q60" s="191"/>
      <c r="R60" s="191"/>
      <c r="S60" s="191">
        <v>15</v>
      </c>
      <c r="T60" s="191"/>
      <c r="U60" s="232"/>
      <c r="V60" s="191"/>
      <c r="W60" s="192"/>
      <c r="X60" s="191"/>
      <c r="Y60" s="191"/>
      <c r="Z60" s="191"/>
      <c r="AA60" s="319"/>
      <c r="AB60" s="168"/>
      <c r="AC60" s="168"/>
      <c r="AD60" s="168"/>
      <c r="AE60" s="168"/>
      <c r="AF60" s="168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</row>
    <row r="61" spans="1:115" s="170" customFormat="1" ht="12" customHeight="1" x14ac:dyDescent="0.25">
      <c r="A61" s="273">
        <v>44614</v>
      </c>
      <c r="B61" s="231" t="s">
        <v>268</v>
      </c>
      <c r="C61" s="274" t="s">
        <v>145</v>
      </c>
      <c r="D61" s="285"/>
      <c r="E61" s="218">
        <v>24.9</v>
      </c>
      <c r="F61" s="219"/>
      <c r="G61" s="286"/>
      <c r="H61" s="304"/>
      <c r="I61" s="185"/>
      <c r="J61" s="185"/>
      <c r="K61" s="186"/>
      <c r="L61" s="185"/>
      <c r="M61" s="185"/>
      <c r="N61" s="185"/>
      <c r="O61" s="305"/>
      <c r="P61" s="318"/>
      <c r="Q61" s="191"/>
      <c r="R61" s="191"/>
      <c r="S61" s="191">
        <v>24.9</v>
      </c>
      <c r="T61" s="191"/>
      <c r="U61" s="232"/>
      <c r="V61" s="191"/>
      <c r="W61" s="192"/>
      <c r="X61" s="191"/>
      <c r="Y61" s="191"/>
      <c r="Z61" s="191"/>
      <c r="AA61" s="319"/>
      <c r="AB61" s="168"/>
      <c r="AC61" s="168"/>
      <c r="AD61" s="168"/>
      <c r="AE61" s="168"/>
      <c r="AF61" s="168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</row>
    <row r="62" spans="1:115" s="170" customFormat="1" ht="12" customHeight="1" x14ac:dyDescent="0.25">
      <c r="A62" s="273">
        <v>44615</v>
      </c>
      <c r="B62" s="231" t="s">
        <v>271</v>
      </c>
      <c r="C62" s="274" t="s">
        <v>145</v>
      </c>
      <c r="D62" s="285"/>
      <c r="E62" s="218"/>
      <c r="F62" s="219">
        <v>4</v>
      </c>
      <c r="G62" s="286"/>
      <c r="H62" s="304"/>
      <c r="I62" s="185"/>
      <c r="J62" s="185"/>
      <c r="K62" s="186">
        <v>4</v>
      </c>
      <c r="L62" s="185"/>
      <c r="M62" s="185"/>
      <c r="N62" s="185"/>
      <c r="O62" s="305"/>
      <c r="P62" s="318"/>
      <c r="Q62" s="191"/>
      <c r="R62" s="191"/>
      <c r="S62" s="191"/>
      <c r="T62" s="191"/>
      <c r="U62" s="232"/>
      <c r="V62" s="191"/>
      <c r="W62" s="192"/>
      <c r="X62" s="191"/>
      <c r="Y62" s="191"/>
      <c r="Z62" s="191"/>
      <c r="AA62" s="319"/>
      <c r="AB62" s="168"/>
      <c r="AC62" s="168"/>
      <c r="AD62" s="168"/>
      <c r="AE62" s="168"/>
      <c r="AF62" s="168"/>
      <c r="AG62" s="168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</row>
    <row r="63" spans="1:115" s="170" customFormat="1" ht="12" customHeight="1" x14ac:dyDescent="0.25">
      <c r="A63" s="273">
        <v>44615</v>
      </c>
      <c r="B63" s="231" t="s">
        <v>272</v>
      </c>
      <c r="C63" s="274" t="s">
        <v>145</v>
      </c>
      <c r="D63" s="285">
        <v>17</v>
      </c>
      <c r="E63" s="218"/>
      <c r="F63" s="219"/>
      <c r="G63" s="286"/>
      <c r="H63" s="304"/>
      <c r="I63" s="185"/>
      <c r="J63" s="185"/>
      <c r="K63" s="186">
        <v>17</v>
      </c>
      <c r="L63" s="185"/>
      <c r="M63" s="185"/>
      <c r="N63" s="185"/>
      <c r="O63" s="305"/>
      <c r="P63" s="318"/>
      <c r="Q63" s="191"/>
      <c r="R63" s="191"/>
      <c r="S63" s="191"/>
      <c r="T63" s="191"/>
      <c r="U63" s="232"/>
      <c r="V63" s="191"/>
      <c r="W63" s="192"/>
      <c r="X63" s="191"/>
      <c r="Y63" s="191"/>
      <c r="Z63" s="191"/>
      <c r="AA63" s="319"/>
      <c r="AB63" s="168"/>
      <c r="AC63" s="168"/>
      <c r="AD63" s="168"/>
      <c r="AE63" s="168"/>
      <c r="AF63" s="168"/>
      <c r="AG63" s="168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</row>
    <row r="64" spans="1:115" s="170" customFormat="1" ht="12" customHeight="1" x14ac:dyDescent="0.25">
      <c r="A64" s="273">
        <v>44615</v>
      </c>
      <c r="B64" s="231" t="s">
        <v>272</v>
      </c>
      <c r="C64" s="274" t="s">
        <v>145</v>
      </c>
      <c r="D64" s="285"/>
      <c r="E64" s="218"/>
      <c r="F64" s="219">
        <v>3</v>
      </c>
      <c r="G64" s="286"/>
      <c r="H64" s="304"/>
      <c r="I64" s="185"/>
      <c r="J64" s="185"/>
      <c r="K64" s="186">
        <v>3</v>
      </c>
      <c r="L64" s="185"/>
      <c r="M64" s="185"/>
      <c r="N64" s="185"/>
      <c r="O64" s="305"/>
      <c r="P64" s="318"/>
      <c r="Q64" s="191"/>
      <c r="R64" s="191"/>
      <c r="S64" s="191"/>
      <c r="T64" s="191"/>
      <c r="U64" s="232"/>
      <c r="V64" s="191"/>
      <c r="W64" s="192"/>
      <c r="X64" s="191"/>
      <c r="Y64" s="191"/>
      <c r="Z64" s="191"/>
      <c r="AA64" s="319"/>
      <c r="AB64" s="168"/>
      <c r="AC64" s="168"/>
      <c r="AD64" s="168"/>
      <c r="AE64" s="168"/>
      <c r="AF64" s="168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</row>
    <row r="65" spans="1:115" s="170" customFormat="1" ht="12" customHeight="1" x14ac:dyDescent="0.25">
      <c r="A65" s="273">
        <v>44616</v>
      </c>
      <c r="B65" s="231" t="s">
        <v>269</v>
      </c>
      <c r="C65" s="274" t="s">
        <v>145</v>
      </c>
      <c r="D65" s="285"/>
      <c r="E65" s="218">
        <v>485.69</v>
      </c>
      <c r="F65" s="219"/>
      <c r="G65" s="286"/>
      <c r="H65" s="304"/>
      <c r="I65" s="185"/>
      <c r="J65" s="185"/>
      <c r="K65" s="186"/>
      <c r="L65" s="185"/>
      <c r="M65" s="185"/>
      <c r="N65" s="185"/>
      <c r="O65" s="305"/>
      <c r="P65" s="318">
        <v>485.69</v>
      </c>
      <c r="Q65" s="191"/>
      <c r="R65" s="191"/>
      <c r="S65" s="191"/>
      <c r="T65" s="191"/>
      <c r="U65" s="232"/>
      <c r="V65" s="191"/>
      <c r="W65" s="192"/>
      <c r="X65" s="191"/>
      <c r="Y65" s="191"/>
      <c r="Z65" s="191"/>
      <c r="AA65" s="319"/>
      <c r="AB65" s="168"/>
      <c r="AC65" s="168"/>
      <c r="AD65" s="168"/>
      <c r="AE65" s="168"/>
      <c r="AF65" s="168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</row>
    <row r="66" spans="1:115" s="170" customFormat="1" ht="12" customHeight="1" x14ac:dyDescent="0.25">
      <c r="A66" s="273">
        <v>44616</v>
      </c>
      <c r="B66" s="231" t="s">
        <v>270</v>
      </c>
      <c r="C66" s="274" t="s">
        <v>145</v>
      </c>
      <c r="D66" s="285">
        <v>50</v>
      </c>
      <c r="E66" s="218"/>
      <c r="F66" s="219"/>
      <c r="G66" s="286"/>
      <c r="H66" s="304"/>
      <c r="I66" s="185">
        <v>50</v>
      </c>
      <c r="J66" s="185"/>
      <c r="K66" s="186"/>
      <c r="L66" s="185"/>
      <c r="M66" s="185"/>
      <c r="N66" s="185"/>
      <c r="O66" s="305"/>
      <c r="P66" s="318"/>
      <c r="Q66" s="191"/>
      <c r="R66" s="191"/>
      <c r="S66" s="191"/>
      <c r="T66" s="191"/>
      <c r="U66" s="232"/>
      <c r="V66" s="191"/>
      <c r="W66" s="192"/>
      <c r="X66" s="191"/>
      <c r="Y66" s="191"/>
      <c r="Z66" s="191"/>
      <c r="AA66" s="319"/>
      <c r="AB66" s="168"/>
      <c r="AC66" s="168"/>
      <c r="AD66" s="168"/>
      <c r="AE66" s="168"/>
      <c r="AF66" s="168"/>
      <c r="AG66" s="168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</row>
    <row r="67" spans="1:115" s="170" customFormat="1" ht="12" customHeight="1" x14ac:dyDescent="0.25">
      <c r="A67" s="273">
        <v>44616</v>
      </c>
      <c r="B67" s="231" t="s">
        <v>194</v>
      </c>
      <c r="C67" s="274" t="s">
        <v>145</v>
      </c>
      <c r="D67" s="285">
        <v>30</v>
      </c>
      <c r="E67" s="218"/>
      <c r="F67" s="219"/>
      <c r="G67" s="286"/>
      <c r="H67" s="304"/>
      <c r="I67" s="185">
        <v>30</v>
      </c>
      <c r="J67" s="185"/>
      <c r="K67" s="186"/>
      <c r="L67" s="185"/>
      <c r="M67" s="185"/>
      <c r="N67" s="185"/>
      <c r="O67" s="305"/>
      <c r="P67" s="318"/>
      <c r="Q67" s="191"/>
      <c r="R67" s="191"/>
      <c r="S67" s="191"/>
      <c r="T67" s="191"/>
      <c r="U67" s="232"/>
      <c r="V67" s="191"/>
      <c r="W67" s="192"/>
      <c r="X67" s="191"/>
      <c r="Y67" s="191"/>
      <c r="Z67" s="191"/>
      <c r="AA67" s="319"/>
      <c r="AB67" s="168"/>
      <c r="AC67" s="168"/>
      <c r="AD67" s="168"/>
      <c r="AE67" s="168"/>
      <c r="AF67" s="168"/>
      <c r="AG67" s="168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</row>
    <row r="68" spans="1:115" s="170" customFormat="1" ht="12" customHeight="1" x14ac:dyDescent="0.25">
      <c r="A68" s="273">
        <v>44617</v>
      </c>
      <c r="B68" s="231" t="s">
        <v>273</v>
      </c>
      <c r="C68" s="274" t="s">
        <v>145</v>
      </c>
      <c r="D68" s="285"/>
      <c r="E68" s="218"/>
      <c r="F68" s="219">
        <v>37.5</v>
      </c>
      <c r="G68" s="286"/>
      <c r="H68" s="304"/>
      <c r="I68" s="185"/>
      <c r="J68" s="185"/>
      <c r="K68" s="186">
        <v>37.5</v>
      </c>
      <c r="L68" s="185"/>
      <c r="M68" s="185"/>
      <c r="N68" s="185"/>
      <c r="O68" s="305"/>
      <c r="P68" s="318"/>
      <c r="Q68" s="191"/>
      <c r="R68" s="191"/>
      <c r="S68" s="191"/>
      <c r="T68" s="191"/>
      <c r="U68" s="232"/>
      <c r="V68" s="191"/>
      <c r="W68" s="192"/>
      <c r="X68" s="191"/>
      <c r="Y68" s="191"/>
      <c r="Z68" s="191"/>
      <c r="AA68" s="319"/>
      <c r="AB68" s="168"/>
      <c r="AC68" s="168"/>
      <c r="AD68" s="168"/>
      <c r="AE68" s="168"/>
      <c r="AF68" s="168"/>
      <c r="AG68" s="168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</row>
    <row r="69" spans="1:115" s="170" customFormat="1" ht="12" customHeight="1" x14ac:dyDescent="0.25">
      <c r="A69" s="273">
        <v>44617</v>
      </c>
      <c r="B69" s="231" t="s">
        <v>274</v>
      </c>
      <c r="C69" s="274" t="s">
        <v>145</v>
      </c>
      <c r="D69" s="285">
        <v>409.7</v>
      </c>
      <c r="E69" s="218"/>
      <c r="F69" s="219"/>
      <c r="G69" s="286"/>
      <c r="H69" s="304"/>
      <c r="I69" s="185"/>
      <c r="J69" s="185"/>
      <c r="K69" s="186">
        <v>409.7</v>
      </c>
      <c r="L69" s="185"/>
      <c r="M69" s="185"/>
      <c r="N69" s="185"/>
      <c r="O69" s="305"/>
      <c r="P69" s="318"/>
      <c r="Q69" s="191"/>
      <c r="R69" s="191"/>
      <c r="S69" s="191"/>
      <c r="T69" s="191"/>
      <c r="U69" s="232"/>
      <c r="V69" s="191"/>
      <c r="W69" s="192"/>
      <c r="X69" s="191"/>
      <c r="Y69" s="191"/>
      <c r="Z69" s="191"/>
      <c r="AA69" s="319"/>
      <c r="AB69" s="168"/>
      <c r="AC69" s="168"/>
      <c r="AD69" s="168"/>
      <c r="AE69" s="168"/>
      <c r="AF69" s="168"/>
      <c r="AG69" s="168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</row>
    <row r="70" spans="1:115" s="170" customFormat="1" ht="12" customHeight="1" x14ac:dyDescent="0.25">
      <c r="A70" s="273">
        <v>44617</v>
      </c>
      <c r="B70" s="231" t="s">
        <v>275</v>
      </c>
      <c r="C70" s="274" t="s">
        <v>145</v>
      </c>
      <c r="D70" s="285"/>
      <c r="E70" s="218"/>
      <c r="F70" s="219">
        <v>29</v>
      </c>
      <c r="G70" s="286"/>
      <c r="H70" s="304"/>
      <c r="I70" s="185"/>
      <c r="J70" s="185"/>
      <c r="K70" s="186">
        <v>29</v>
      </c>
      <c r="L70" s="185"/>
      <c r="M70" s="185"/>
      <c r="N70" s="185"/>
      <c r="O70" s="305"/>
      <c r="P70" s="318"/>
      <c r="Q70" s="191"/>
      <c r="R70" s="191"/>
      <c r="S70" s="191"/>
      <c r="T70" s="191"/>
      <c r="U70" s="232"/>
      <c r="V70" s="191"/>
      <c r="W70" s="192"/>
      <c r="X70" s="191"/>
      <c r="Y70" s="191"/>
      <c r="Z70" s="191"/>
      <c r="AA70" s="319"/>
      <c r="AB70" s="168"/>
      <c r="AC70" s="168"/>
      <c r="AD70" s="168"/>
      <c r="AE70" s="168"/>
      <c r="AF70" s="168"/>
      <c r="AG70" s="168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</row>
    <row r="71" spans="1:115" s="170" customFormat="1" ht="12" customHeight="1" x14ac:dyDescent="0.25">
      <c r="A71" s="273">
        <v>44617</v>
      </c>
      <c r="B71" s="231" t="s">
        <v>276</v>
      </c>
      <c r="C71" s="274" t="s">
        <v>145</v>
      </c>
      <c r="D71" s="285"/>
      <c r="E71" s="218"/>
      <c r="F71" s="219">
        <v>26.5</v>
      </c>
      <c r="G71" s="286"/>
      <c r="H71" s="304"/>
      <c r="I71" s="185"/>
      <c r="J71" s="185"/>
      <c r="K71" s="186">
        <v>26.5</v>
      </c>
      <c r="L71" s="185"/>
      <c r="M71" s="185"/>
      <c r="N71" s="185"/>
      <c r="O71" s="305"/>
      <c r="P71" s="318"/>
      <c r="Q71" s="191"/>
      <c r="R71" s="191"/>
      <c r="S71" s="191"/>
      <c r="T71" s="191"/>
      <c r="U71" s="232"/>
      <c r="V71" s="191"/>
      <c r="W71" s="192"/>
      <c r="X71" s="191"/>
      <c r="Y71" s="191"/>
      <c r="Z71" s="191"/>
      <c r="AA71" s="319"/>
      <c r="AB71" s="168"/>
      <c r="AC71" s="168"/>
      <c r="AD71" s="168"/>
      <c r="AE71" s="168"/>
      <c r="AF71" s="168"/>
      <c r="AG71" s="168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</row>
    <row r="72" spans="1:115" s="170" customFormat="1" ht="12" customHeight="1" x14ac:dyDescent="0.25">
      <c r="A72" s="273">
        <v>44617</v>
      </c>
      <c r="B72" s="231" t="s">
        <v>277</v>
      </c>
      <c r="C72" s="274" t="s">
        <v>145</v>
      </c>
      <c r="D72" s="285"/>
      <c r="E72" s="218"/>
      <c r="F72" s="219"/>
      <c r="G72" s="286">
        <v>7.36</v>
      </c>
      <c r="H72" s="304"/>
      <c r="I72" s="185"/>
      <c r="J72" s="185"/>
      <c r="K72" s="186"/>
      <c r="L72" s="185"/>
      <c r="M72" s="185"/>
      <c r="N72" s="185"/>
      <c r="O72" s="305"/>
      <c r="P72" s="318"/>
      <c r="Q72" s="191">
        <v>7.36</v>
      </c>
      <c r="R72" s="191"/>
      <c r="S72" s="191"/>
      <c r="T72" s="191"/>
      <c r="U72" s="232"/>
      <c r="V72" s="191"/>
      <c r="W72" s="192"/>
      <c r="X72" s="191"/>
      <c r="Y72" s="191"/>
      <c r="Z72" s="191"/>
      <c r="AA72" s="319"/>
      <c r="AB72" s="168"/>
      <c r="AC72" s="168"/>
      <c r="AD72" s="168"/>
      <c r="AE72" s="168"/>
      <c r="AF72" s="168"/>
      <c r="AG72" s="168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</row>
    <row r="73" spans="1:115" s="170" customFormat="1" ht="12" customHeight="1" x14ac:dyDescent="0.25">
      <c r="A73" s="273">
        <v>44617</v>
      </c>
      <c r="B73" s="231" t="s">
        <v>208</v>
      </c>
      <c r="C73" s="274" t="s">
        <v>145</v>
      </c>
      <c r="D73" s="285"/>
      <c r="E73" s="218">
        <v>172.8</v>
      </c>
      <c r="F73" s="219"/>
      <c r="G73" s="286"/>
      <c r="H73" s="304"/>
      <c r="I73" s="185"/>
      <c r="J73" s="185"/>
      <c r="K73" s="186"/>
      <c r="L73" s="185"/>
      <c r="M73" s="185"/>
      <c r="N73" s="185"/>
      <c r="O73" s="305"/>
      <c r="P73" s="318"/>
      <c r="Q73" s="191"/>
      <c r="R73" s="191"/>
      <c r="S73" s="191"/>
      <c r="T73" s="191"/>
      <c r="U73" s="232"/>
      <c r="V73" s="191">
        <v>172.8</v>
      </c>
      <c r="W73" s="192"/>
      <c r="X73" s="191"/>
      <c r="Y73" s="191"/>
      <c r="Z73" s="191"/>
      <c r="AA73" s="319"/>
      <c r="AB73" s="168"/>
      <c r="AC73" s="168"/>
      <c r="AD73" s="168"/>
      <c r="AE73" s="168"/>
      <c r="AF73" s="168"/>
      <c r="AG73" s="168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</row>
    <row r="74" spans="1:115" s="170" customFormat="1" ht="12" customHeight="1" x14ac:dyDescent="0.25">
      <c r="A74" s="210">
        <v>44618</v>
      </c>
      <c r="B74" s="56" t="s">
        <v>142</v>
      </c>
      <c r="C74" s="274" t="s">
        <v>145</v>
      </c>
      <c r="D74" s="285">
        <v>48</v>
      </c>
      <c r="E74" s="218"/>
      <c r="F74" s="219"/>
      <c r="G74" s="286"/>
      <c r="H74" s="304"/>
      <c r="I74" s="185">
        <v>48</v>
      </c>
      <c r="J74" s="185"/>
      <c r="K74" s="186"/>
      <c r="L74" s="185"/>
      <c r="M74" s="185"/>
      <c r="N74" s="185"/>
      <c r="O74" s="305"/>
      <c r="P74" s="318"/>
      <c r="Q74" s="191"/>
      <c r="R74" s="191"/>
      <c r="S74" s="191"/>
      <c r="T74" s="191"/>
      <c r="U74" s="232"/>
      <c r="V74" s="191"/>
      <c r="W74" s="192"/>
      <c r="X74" s="191"/>
      <c r="Y74" s="191"/>
      <c r="Z74" s="191"/>
      <c r="AA74" s="319"/>
      <c r="AB74" s="168"/>
      <c r="AC74" s="168"/>
      <c r="AD74" s="168"/>
      <c r="AE74" s="168"/>
      <c r="AF74" s="168"/>
      <c r="AG74" s="168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</row>
    <row r="75" spans="1:115" s="170" customFormat="1" ht="12" customHeight="1" x14ac:dyDescent="0.25">
      <c r="A75" s="273">
        <v>44618</v>
      </c>
      <c r="B75" s="231" t="s">
        <v>280</v>
      </c>
      <c r="C75" s="274" t="s">
        <v>145</v>
      </c>
      <c r="D75" s="285"/>
      <c r="E75" s="218"/>
      <c r="F75" s="219">
        <v>2.5</v>
      </c>
      <c r="G75" s="286"/>
      <c r="H75" s="304"/>
      <c r="I75" s="185"/>
      <c r="J75" s="185"/>
      <c r="K75" s="186">
        <v>2.5</v>
      </c>
      <c r="L75" s="185"/>
      <c r="M75" s="185"/>
      <c r="N75" s="185"/>
      <c r="O75" s="305"/>
      <c r="P75" s="318"/>
      <c r="Q75" s="191"/>
      <c r="R75" s="191"/>
      <c r="S75" s="191"/>
      <c r="T75" s="191"/>
      <c r="U75" s="232"/>
      <c r="V75" s="191"/>
      <c r="W75" s="192"/>
      <c r="X75" s="191"/>
      <c r="Y75" s="191"/>
      <c r="Z75" s="191"/>
      <c r="AA75" s="319"/>
      <c r="AB75" s="168"/>
      <c r="AC75" s="168"/>
      <c r="AD75" s="168"/>
      <c r="AE75" s="168"/>
      <c r="AF75" s="168"/>
      <c r="AG75" s="168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</row>
    <row r="76" spans="1:115" s="170" customFormat="1" ht="12" customHeight="1" x14ac:dyDescent="0.25">
      <c r="A76" s="273">
        <v>44618</v>
      </c>
      <c r="B76" s="462" t="s">
        <v>281</v>
      </c>
      <c r="C76" s="274" t="s">
        <v>145</v>
      </c>
      <c r="D76" s="285"/>
      <c r="E76" s="218"/>
      <c r="F76" s="219">
        <v>48</v>
      </c>
      <c r="G76" s="286"/>
      <c r="H76" s="304"/>
      <c r="I76" s="185"/>
      <c r="J76" s="185"/>
      <c r="K76" s="186">
        <v>48</v>
      </c>
      <c r="L76" s="185"/>
      <c r="M76" s="185"/>
      <c r="N76" s="185"/>
      <c r="O76" s="305"/>
      <c r="P76" s="318"/>
      <c r="Q76" s="191"/>
      <c r="R76" s="191"/>
      <c r="S76" s="191"/>
      <c r="T76" s="191"/>
      <c r="U76" s="232"/>
      <c r="V76" s="191"/>
      <c r="W76" s="192"/>
      <c r="X76" s="191"/>
      <c r="Y76" s="191"/>
      <c r="Z76" s="191"/>
      <c r="AA76" s="319"/>
      <c r="AB76" s="168"/>
      <c r="AC76" s="168"/>
      <c r="AD76" s="168"/>
      <c r="AE76" s="168"/>
      <c r="AF76" s="168"/>
      <c r="AG76" s="168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</row>
    <row r="77" spans="1:115" s="170" customFormat="1" ht="12" customHeight="1" x14ac:dyDescent="0.25">
      <c r="A77" s="463">
        <v>44618</v>
      </c>
      <c r="B77" s="462" t="s">
        <v>279</v>
      </c>
      <c r="C77" s="274" t="s">
        <v>145</v>
      </c>
      <c r="D77" s="285">
        <v>80</v>
      </c>
      <c r="E77" s="218"/>
      <c r="F77" s="219"/>
      <c r="G77" s="286"/>
      <c r="H77" s="304"/>
      <c r="I77" s="185">
        <v>80</v>
      </c>
      <c r="J77" s="185"/>
      <c r="K77" s="186"/>
      <c r="L77" s="185"/>
      <c r="M77" s="185"/>
      <c r="N77" s="185"/>
      <c r="O77" s="305"/>
      <c r="P77" s="318"/>
      <c r="Q77" s="191"/>
      <c r="R77" s="191"/>
      <c r="S77" s="191"/>
      <c r="T77" s="191"/>
      <c r="U77" s="232"/>
      <c r="V77" s="191"/>
      <c r="W77" s="192"/>
      <c r="X77" s="191"/>
      <c r="Y77" s="191"/>
      <c r="Z77" s="191"/>
      <c r="AA77" s="319"/>
      <c r="AB77" s="168"/>
      <c r="AC77" s="168"/>
      <c r="AD77" s="168"/>
      <c r="AE77" s="168"/>
      <c r="AF77" s="168"/>
      <c r="AG77" s="168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</row>
    <row r="78" spans="1:115" s="170" customFormat="1" ht="12" customHeight="1" x14ac:dyDescent="0.25">
      <c r="A78" s="463">
        <v>44620</v>
      </c>
      <c r="B78" s="462" t="s">
        <v>283</v>
      </c>
      <c r="C78" s="274" t="s">
        <v>145</v>
      </c>
      <c r="D78" s="285">
        <v>144</v>
      </c>
      <c r="E78" s="218"/>
      <c r="F78" s="219"/>
      <c r="G78" s="286"/>
      <c r="H78" s="304"/>
      <c r="I78" s="185">
        <v>144</v>
      </c>
      <c r="J78" s="185"/>
      <c r="K78" s="186"/>
      <c r="L78" s="185"/>
      <c r="M78" s="185"/>
      <c r="N78" s="185"/>
      <c r="O78" s="305"/>
      <c r="P78" s="318"/>
      <c r="Q78" s="191"/>
      <c r="R78" s="191"/>
      <c r="S78" s="191"/>
      <c r="T78" s="191"/>
      <c r="U78" s="232"/>
      <c r="V78" s="191"/>
      <c r="W78" s="192"/>
      <c r="X78" s="191"/>
      <c r="Y78" s="191"/>
      <c r="Z78" s="191"/>
      <c r="AA78" s="319"/>
      <c r="AB78" s="168"/>
      <c r="AC78" s="168"/>
      <c r="AD78" s="168"/>
      <c r="AE78" s="168"/>
      <c r="AF78" s="168"/>
      <c r="AG78" s="168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</row>
    <row r="79" spans="1:115" s="170" customFormat="1" ht="12" customHeight="1" x14ac:dyDescent="0.25">
      <c r="A79" s="273">
        <v>44620</v>
      </c>
      <c r="B79" s="462" t="s">
        <v>215</v>
      </c>
      <c r="C79" s="274" t="s">
        <v>145</v>
      </c>
      <c r="D79" s="285"/>
      <c r="E79" s="218">
        <v>60</v>
      </c>
      <c r="F79" s="219"/>
      <c r="G79" s="286"/>
      <c r="H79" s="304"/>
      <c r="I79" s="185"/>
      <c r="J79" s="185"/>
      <c r="K79" s="186"/>
      <c r="L79" s="185"/>
      <c r="M79" s="185"/>
      <c r="N79" s="185"/>
      <c r="O79" s="305"/>
      <c r="P79" s="318"/>
      <c r="Q79" s="191"/>
      <c r="R79" s="191"/>
      <c r="S79" s="191"/>
      <c r="T79" s="191"/>
      <c r="U79" s="232"/>
      <c r="V79" s="191">
        <v>60</v>
      </c>
      <c r="W79" s="192"/>
      <c r="X79" s="191"/>
      <c r="Y79" s="191"/>
      <c r="Z79" s="191"/>
      <c r="AA79" s="319"/>
      <c r="AB79" s="168"/>
      <c r="AC79" s="168"/>
      <c r="AD79" s="168"/>
      <c r="AE79" s="168"/>
      <c r="AF79" s="168"/>
      <c r="AG79" s="168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</row>
    <row r="80" spans="1:115" s="170" customFormat="1" ht="12" customHeight="1" x14ac:dyDescent="0.25">
      <c r="A80" s="273">
        <v>44620</v>
      </c>
      <c r="B80" s="231" t="s">
        <v>345</v>
      </c>
      <c r="C80" s="274" t="s">
        <v>145</v>
      </c>
      <c r="D80" s="285">
        <v>237.24</v>
      </c>
      <c r="E80" s="218"/>
      <c r="F80" s="219"/>
      <c r="G80" s="286">
        <v>237.24</v>
      </c>
      <c r="H80" s="304"/>
      <c r="I80" s="185"/>
      <c r="J80" s="185"/>
      <c r="K80" s="186"/>
      <c r="L80" s="185"/>
      <c r="M80" s="185"/>
      <c r="N80" s="185"/>
      <c r="O80" s="305"/>
      <c r="P80" s="318"/>
      <c r="Q80" s="191"/>
      <c r="R80" s="191"/>
      <c r="S80" s="191"/>
      <c r="T80" s="191"/>
      <c r="U80" s="232"/>
      <c r="V80" s="191"/>
      <c r="W80" s="192"/>
      <c r="X80" s="191"/>
      <c r="Y80" s="191"/>
      <c r="Z80" s="191"/>
      <c r="AA80" s="319"/>
      <c r="AB80" s="168"/>
      <c r="AC80" s="168"/>
      <c r="AD80" s="168"/>
      <c r="AE80" s="168"/>
      <c r="AF80" s="168"/>
      <c r="AG80" s="168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</row>
    <row r="81" spans="1:115" s="170" customFormat="1" ht="12" customHeight="1" x14ac:dyDescent="0.25">
      <c r="A81" s="210">
        <v>44620</v>
      </c>
      <c r="B81" s="56" t="s">
        <v>171</v>
      </c>
      <c r="C81" s="274" t="s">
        <v>145</v>
      </c>
      <c r="D81" s="285">
        <v>99.96</v>
      </c>
      <c r="E81" s="218"/>
      <c r="F81" s="219"/>
      <c r="G81" s="286"/>
      <c r="H81" s="304"/>
      <c r="I81" s="185">
        <v>99.96</v>
      </c>
      <c r="J81" s="185"/>
      <c r="K81" s="186"/>
      <c r="L81" s="185"/>
      <c r="M81" s="185"/>
      <c r="N81" s="185"/>
      <c r="O81" s="305"/>
      <c r="P81" s="318"/>
      <c r="Q81" s="191"/>
      <c r="R81" s="191"/>
      <c r="S81" s="191"/>
      <c r="T81" s="191"/>
      <c r="U81" s="232"/>
      <c r="V81" s="191"/>
      <c r="W81" s="192"/>
      <c r="X81" s="191"/>
      <c r="Y81" s="191"/>
      <c r="Z81" s="191"/>
      <c r="AA81" s="319"/>
      <c r="AB81" s="168"/>
      <c r="AC81" s="168"/>
      <c r="AD81" s="168"/>
      <c r="AE81" s="168"/>
      <c r="AF81" s="168"/>
      <c r="AG81" s="168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</row>
    <row r="82" spans="1:115" s="9" customFormat="1" ht="11" thickBot="1" x14ac:dyDescent="0.3">
      <c r="A82" s="277" t="s">
        <v>25</v>
      </c>
      <c r="B82" s="278"/>
      <c r="C82" s="279"/>
      <c r="D82" s="289">
        <f t="shared" ref="D82:AA82" si="0">SUM(D6:D81)</f>
        <v>2966.99</v>
      </c>
      <c r="E82" s="290">
        <f t="shared" si="0"/>
        <v>3402.5800000000004</v>
      </c>
      <c r="F82" s="291">
        <f t="shared" si="0"/>
        <v>818.5</v>
      </c>
      <c r="G82" s="292">
        <f t="shared" si="0"/>
        <v>827.02</v>
      </c>
      <c r="H82" s="289">
        <f t="shared" si="0"/>
        <v>32.4</v>
      </c>
      <c r="I82" s="290">
        <f t="shared" si="0"/>
        <v>1009.32</v>
      </c>
      <c r="J82" s="290">
        <f t="shared" si="0"/>
        <v>0</v>
      </c>
      <c r="K82" s="290">
        <f t="shared" si="0"/>
        <v>2097.5</v>
      </c>
      <c r="L82" s="290">
        <f t="shared" si="0"/>
        <v>0</v>
      </c>
      <c r="M82" s="290">
        <f t="shared" si="0"/>
        <v>0</v>
      </c>
      <c r="N82" s="290">
        <f t="shared" si="0"/>
        <v>0</v>
      </c>
      <c r="O82" s="308">
        <f t="shared" si="0"/>
        <v>0</v>
      </c>
      <c r="P82" s="322">
        <f t="shared" si="0"/>
        <v>485.69</v>
      </c>
      <c r="Q82" s="323">
        <f t="shared" si="0"/>
        <v>45.17</v>
      </c>
      <c r="R82" s="323">
        <f t="shared" si="0"/>
        <v>0</v>
      </c>
      <c r="S82" s="323">
        <f t="shared" si="0"/>
        <v>376.46</v>
      </c>
      <c r="T82" s="323">
        <f t="shared" si="0"/>
        <v>2281.5</v>
      </c>
      <c r="U82" s="323">
        <f t="shared" si="0"/>
        <v>0</v>
      </c>
      <c r="V82" s="323">
        <f t="shared" si="0"/>
        <v>373.11</v>
      </c>
      <c r="W82" s="323">
        <f t="shared" si="0"/>
        <v>11.44</v>
      </c>
      <c r="X82" s="323">
        <f t="shared" si="0"/>
        <v>0</v>
      </c>
      <c r="Y82" s="323">
        <f t="shared" si="0"/>
        <v>9.9600000000000009</v>
      </c>
      <c r="Z82" s="323">
        <f t="shared" si="0"/>
        <v>0</v>
      </c>
      <c r="AA82" s="324">
        <f t="shared" si="0"/>
        <v>0</v>
      </c>
      <c r="AB82" s="37"/>
      <c r="AC82" s="37"/>
      <c r="AD82" s="37"/>
      <c r="AE82" s="37"/>
      <c r="AF82" s="37"/>
      <c r="AG82" s="37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</row>
    <row r="83" spans="1:115" s="38" customFormat="1" ht="11.5" thickTop="1" thickBot="1" x14ac:dyDescent="0.3">
      <c r="A83" s="326"/>
      <c r="B83" s="327"/>
      <c r="C83" s="328"/>
      <c r="D83" s="336"/>
      <c r="E83" s="337"/>
      <c r="F83" s="338"/>
      <c r="G83" s="339"/>
      <c r="H83" s="353"/>
      <c r="I83" s="338"/>
      <c r="J83" s="338"/>
      <c r="K83" s="354"/>
      <c r="L83" s="338"/>
      <c r="M83" s="338"/>
      <c r="N83" s="355"/>
      <c r="O83" s="339"/>
      <c r="P83" s="372"/>
      <c r="Q83" s="373"/>
      <c r="R83" s="373"/>
      <c r="S83" s="373"/>
      <c r="T83" s="374"/>
      <c r="U83" s="373"/>
      <c r="V83" s="373"/>
      <c r="W83" s="375"/>
      <c r="X83" s="376"/>
      <c r="Y83" s="376"/>
      <c r="Z83" s="376"/>
      <c r="AA83" s="377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</row>
    <row r="84" spans="1:115" s="6" customFormat="1" ht="53.5" thickTop="1" thickBot="1" x14ac:dyDescent="0.3">
      <c r="A84" s="329" t="s">
        <v>1</v>
      </c>
      <c r="B84" s="12" t="s">
        <v>2</v>
      </c>
      <c r="C84" s="330"/>
      <c r="D84" s="340" t="s">
        <v>3</v>
      </c>
      <c r="E84" s="233"/>
      <c r="F84" s="233" t="s">
        <v>4</v>
      </c>
      <c r="G84" s="341"/>
      <c r="H84" s="356" t="s">
        <v>5</v>
      </c>
      <c r="I84" s="13" t="s">
        <v>6</v>
      </c>
      <c r="J84" s="13" t="s">
        <v>7</v>
      </c>
      <c r="K84" s="14" t="s">
        <v>8</v>
      </c>
      <c r="L84" s="15" t="s">
        <v>9</v>
      </c>
      <c r="M84" s="14" t="s">
        <v>10</v>
      </c>
      <c r="N84" s="14" t="s">
        <v>11</v>
      </c>
      <c r="O84" s="357" t="s">
        <v>12</v>
      </c>
      <c r="P84" s="293" t="s">
        <v>13</v>
      </c>
      <c r="Q84" s="297" t="s">
        <v>98</v>
      </c>
      <c r="R84" s="309" t="s">
        <v>14</v>
      </c>
      <c r="S84" s="310" t="s">
        <v>15</v>
      </c>
      <c r="T84" s="311" t="s">
        <v>16</v>
      </c>
      <c r="U84" s="297" t="s">
        <v>17</v>
      </c>
      <c r="V84" s="297" t="s">
        <v>18</v>
      </c>
      <c r="W84" s="294" t="s">
        <v>63</v>
      </c>
      <c r="X84" s="312" t="s">
        <v>19</v>
      </c>
      <c r="Y84" s="297" t="s">
        <v>65</v>
      </c>
      <c r="Z84" s="297" t="s">
        <v>102</v>
      </c>
      <c r="AA84" s="298" t="s">
        <v>104</v>
      </c>
    </row>
    <row r="85" spans="1:115" s="6" customFormat="1" ht="11" thickBot="1" x14ac:dyDescent="0.3">
      <c r="A85" s="331"/>
      <c r="B85" s="16"/>
      <c r="C85" s="332"/>
      <c r="D85" s="342" t="s">
        <v>22</v>
      </c>
      <c r="E85" s="39" t="s">
        <v>23</v>
      </c>
      <c r="F85" s="16" t="s">
        <v>22</v>
      </c>
      <c r="G85" s="343" t="s">
        <v>23</v>
      </c>
      <c r="H85" s="331" t="s">
        <v>22</v>
      </c>
      <c r="I85" s="16" t="s">
        <v>22</v>
      </c>
      <c r="J85" s="16" t="s">
        <v>22</v>
      </c>
      <c r="K85" s="17" t="s">
        <v>22</v>
      </c>
      <c r="L85" s="18" t="s">
        <v>22</v>
      </c>
      <c r="M85" s="19" t="s">
        <v>22</v>
      </c>
      <c r="N85" s="20"/>
      <c r="O85" s="358" t="s">
        <v>22</v>
      </c>
      <c r="P85" s="331" t="s">
        <v>23</v>
      </c>
      <c r="Q85" s="16" t="s">
        <v>23</v>
      </c>
      <c r="R85" s="18" t="s">
        <v>23</v>
      </c>
      <c r="S85" s="18" t="s">
        <v>23</v>
      </c>
      <c r="T85" s="16" t="s">
        <v>23</v>
      </c>
      <c r="U85" s="16" t="s">
        <v>23</v>
      </c>
      <c r="V85" s="16" t="s">
        <v>23</v>
      </c>
      <c r="W85" s="19" t="s">
        <v>23</v>
      </c>
      <c r="X85" s="16" t="s">
        <v>23</v>
      </c>
      <c r="Y85" s="16" t="s">
        <v>23</v>
      </c>
      <c r="Z85" s="16" t="s">
        <v>23</v>
      </c>
      <c r="AA85" s="378" t="s">
        <v>23</v>
      </c>
    </row>
    <row r="86" spans="1:115" s="21" customFormat="1" ht="11" thickBot="1" x14ac:dyDescent="0.3">
      <c r="A86" s="333"/>
      <c r="B86" s="334"/>
      <c r="C86" s="335"/>
      <c r="D86" s="344">
        <f t="shared" ref="D86:AA86" si="1">SUM(D5:D81)</f>
        <v>11201.990000000003</v>
      </c>
      <c r="E86" s="345">
        <f t="shared" si="1"/>
        <v>3402.5800000000004</v>
      </c>
      <c r="F86" s="345">
        <f t="shared" si="1"/>
        <v>914.25</v>
      </c>
      <c r="G86" s="346">
        <f t="shared" si="1"/>
        <v>827.02</v>
      </c>
      <c r="H86" s="359">
        <f t="shared" si="1"/>
        <v>32.4</v>
      </c>
      <c r="I86" s="360">
        <f t="shared" si="1"/>
        <v>1009.32</v>
      </c>
      <c r="J86" s="360">
        <f t="shared" si="1"/>
        <v>0</v>
      </c>
      <c r="K86" s="360">
        <f t="shared" si="1"/>
        <v>2097.5</v>
      </c>
      <c r="L86" s="360">
        <f t="shared" si="1"/>
        <v>0</v>
      </c>
      <c r="M86" s="360">
        <f t="shared" si="1"/>
        <v>0</v>
      </c>
      <c r="N86" s="360">
        <f t="shared" si="1"/>
        <v>0</v>
      </c>
      <c r="O86" s="361">
        <f t="shared" si="1"/>
        <v>8330.7500000000036</v>
      </c>
      <c r="P86" s="359">
        <f t="shared" si="1"/>
        <v>485.69</v>
      </c>
      <c r="Q86" s="360">
        <f t="shared" si="1"/>
        <v>45.17</v>
      </c>
      <c r="R86" s="360">
        <f t="shared" si="1"/>
        <v>0</v>
      </c>
      <c r="S86" s="360">
        <f t="shared" si="1"/>
        <v>376.46</v>
      </c>
      <c r="T86" s="360">
        <f t="shared" si="1"/>
        <v>2281.5</v>
      </c>
      <c r="U86" s="360">
        <f t="shared" si="1"/>
        <v>0</v>
      </c>
      <c r="V86" s="360">
        <f t="shared" si="1"/>
        <v>373.11</v>
      </c>
      <c r="W86" s="360">
        <f t="shared" si="1"/>
        <v>11.44</v>
      </c>
      <c r="X86" s="360">
        <f t="shared" si="1"/>
        <v>0</v>
      </c>
      <c r="Y86" s="360">
        <f t="shared" si="1"/>
        <v>9.9600000000000009</v>
      </c>
      <c r="Z86" s="360">
        <f t="shared" si="1"/>
        <v>0</v>
      </c>
      <c r="AA86" s="361">
        <f t="shared" si="1"/>
        <v>0</v>
      </c>
    </row>
    <row r="87" spans="1:115" s="6" customFormat="1" ht="11.5" thickTop="1" thickBot="1" x14ac:dyDescent="0.3">
      <c r="A87" s="347"/>
      <c r="B87" s="348" t="s">
        <v>26</v>
      </c>
      <c r="C87" s="349"/>
      <c r="D87" s="350">
        <f>SUM(D86-E86)</f>
        <v>7799.4100000000035</v>
      </c>
      <c r="E87" s="351"/>
      <c r="F87" s="350">
        <f>SUM(F86-G86)</f>
        <v>87.230000000000018</v>
      </c>
      <c r="G87" s="352"/>
      <c r="H87" s="363"/>
      <c r="I87" s="379"/>
      <c r="J87" s="379" t="s">
        <v>20</v>
      </c>
      <c r="K87" s="365"/>
      <c r="L87" s="364"/>
      <c r="M87" s="364" t="s">
        <v>20</v>
      </c>
      <c r="N87" s="366"/>
      <c r="O87" s="367" t="s">
        <v>20</v>
      </c>
      <c r="P87" s="363"/>
      <c r="Q87" s="364"/>
      <c r="R87" s="364" t="s">
        <v>20</v>
      </c>
      <c r="S87" s="364" t="s">
        <v>20</v>
      </c>
      <c r="T87" s="364" t="s">
        <v>20</v>
      </c>
      <c r="U87" s="371"/>
      <c r="V87" s="364" t="s">
        <v>20</v>
      </c>
      <c r="W87" s="371"/>
      <c r="X87" s="364" t="s">
        <v>20</v>
      </c>
      <c r="Y87" s="364" t="s">
        <v>20</v>
      </c>
      <c r="Z87" s="364" t="s">
        <v>20</v>
      </c>
      <c r="AA87" s="352" t="s">
        <v>20</v>
      </c>
    </row>
    <row r="88" spans="1:115" s="6" customFormat="1" ht="13.5" thickTop="1" thickBot="1" x14ac:dyDescent="0.3">
      <c r="A88" s="2"/>
      <c r="B88" s="2"/>
      <c r="C88" s="55"/>
      <c r="D88" s="35"/>
      <c r="E88" s="34"/>
      <c r="F88" s="4"/>
      <c r="I88" s="546" t="s">
        <v>27</v>
      </c>
      <c r="J88" s="547"/>
      <c r="K88" s="362">
        <f>SUM(H86:O86)</f>
        <v>11469.970000000005</v>
      </c>
      <c r="O88" s="22"/>
      <c r="P88" s="4"/>
      <c r="Q88" s="6" t="s">
        <v>28</v>
      </c>
      <c r="R88" s="368" t="s">
        <v>20</v>
      </c>
      <c r="S88" s="369">
        <f>SUM(P86:AA86)</f>
        <v>3583.33</v>
      </c>
      <c r="T88" s="370"/>
    </row>
    <row r="89" spans="1:115" s="6" customFormat="1" ht="11" thickBot="1" x14ac:dyDescent="0.3">
      <c r="A89" s="2"/>
      <c r="B89" s="23" t="s">
        <v>29</v>
      </c>
      <c r="C89" s="23"/>
      <c r="D89" s="40" t="s">
        <v>20</v>
      </c>
      <c r="E89" s="193">
        <f>SUM(D86-E86+F86-G86)</f>
        <v>7886.6400000000031</v>
      </c>
      <c r="F89" s="25" t="s">
        <v>49</v>
      </c>
      <c r="H89" s="26"/>
      <c r="I89" s="46"/>
      <c r="J89" s="46"/>
      <c r="K89" s="27"/>
      <c r="M89" s="7"/>
      <c r="N89" s="46"/>
      <c r="O89" s="24">
        <f>E86</f>
        <v>3402.5800000000004</v>
      </c>
      <c r="P89" s="540">
        <f>SUM(K88-S88)</f>
        <v>7886.6400000000049</v>
      </c>
      <c r="Q89" s="540"/>
      <c r="R89" s="541" t="s">
        <v>30</v>
      </c>
      <c r="S89" s="541"/>
      <c r="T89" s="541"/>
    </row>
    <row r="90" spans="1:115" s="6" customFormat="1" ht="10.5" x14ac:dyDescent="0.25">
      <c r="A90" s="1"/>
      <c r="B90" s="2"/>
      <c r="C90" s="55"/>
      <c r="D90" s="28"/>
      <c r="E90" s="34"/>
      <c r="F90" s="4"/>
      <c r="G90" s="3"/>
      <c r="H90" s="3"/>
      <c r="I90" s="3"/>
      <c r="J90" s="3"/>
      <c r="K90" s="5"/>
      <c r="L90" s="3"/>
      <c r="M90" s="3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115" s="6" customFormat="1" x14ac:dyDescent="0.25">
      <c r="A91" s="1"/>
      <c r="B91" s="2"/>
      <c r="C91" s="2"/>
      <c r="D91" s="542" t="s">
        <v>52</v>
      </c>
      <c r="E91" s="543"/>
      <c r="F91" s="194">
        <v>62.93</v>
      </c>
      <c r="G91" s="197">
        <f>7182.21+(110.5+409.7+80+17)</f>
        <v>7799.41</v>
      </c>
      <c r="H91" s="52" t="s">
        <v>54</v>
      </c>
      <c r="I91" s="57"/>
      <c r="J91" s="3"/>
      <c r="K91" s="5"/>
      <c r="L91" s="3"/>
      <c r="M91" s="3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115" s="6" customFormat="1" x14ac:dyDescent="0.25">
      <c r="A92" s="1"/>
      <c r="B92" s="2"/>
      <c r="C92" s="2"/>
      <c r="D92" s="544" t="s">
        <v>34</v>
      </c>
      <c r="E92" s="545"/>
      <c r="F92" s="195">
        <v>24.3</v>
      </c>
      <c r="G92" s="197">
        <f>D87</f>
        <v>7799.4100000000035</v>
      </c>
      <c r="H92" s="52" t="s">
        <v>60</v>
      </c>
      <c r="I92" s="57"/>
      <c r="J92" s="3"/>
      <c r="K92" s="5"/>
      <c r="L92" s="3"/>
      <c r="M92" s="3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115" s="6" customFormat="1" x14ac:dyDescent="0.25">
      <c r="A93" s="1"/>
      <c r="B93" s="2"/>
      <c r="C93" s="2"/>
      <c r="D93" s="544" t="s">
        <v>85</v>
      </c>
      <c r="E93" s="545"/>
      <c r="F93" s="194">
        <v>0</v>
      </c>
      <c r="G93" s="198">
        <f>G91-G92</f>
        <v>0</v>
      </c>
      <c r="H93" s="53" t="s">
        <v>50</v>
      </c>
      <c r="I93" s="3"/>
      <c r="J93" s="3"/>
      <c r="K93" s="5"/>
      <c r="L93" s="3"/>
      <c r="M93" s="3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115" s="6" customFormat="1" x14ac:dyDescent="0.25">
      <c r="A94" s="1"/>
      <c r="B94" s="2"/>
      <c r="C94" s="2"/>
      <c r="D94" s="533" t="s">
        <v>50</v>
      </c>
      <c r="E94" s="534"/>
      <c r="F94" s="196">
        <f>F91+F92+F93-F87</f>
        <v>0</v>
      </c>
      <c r="G94" s="84"/>
      <c r="H94" s="85"/>
      <c r="I94" s="3"/>
      <c r="J94" s="3"/>
      <c r="K94" s="5"/>
      <c r="L94" s="3"/>
      <c r="M94" s="3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</sheetData>
  <sheetProtection selectLockedCells="1" selectUnlockedCells="1"/>
  <mergeCells count="10">
    <mergeCell ref="R89:T89"/>
    <mergeCell ref="D91:E91"/>
    <mergeCell ref="A1:B1"/>
    <mergeCell ref="D92:E92"/>
    <mergeCell ref="D93:E93"/>
    <mergeCell ref="D94:E94"/>
    <mergeCell ref="D3:E3"/>
    <mergeCell ref="F3:G3"/>
    <mergeCell ref="P89:Q89"/>
    <mergeCell ref="I88:J88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I1138"/>
  <sheetViews>
    <sheetView showGridLines="0" topLeftCell="A6" workbookViewId="0">
      <selection activeCell="A36" sqref="A36:XFD36"/>
    </sheetView>
  </sheetViews>
  <sheetFormatPr baseColWidth="10" defaultColWidth="10.81640625" defaultRowHeight="10.5" x14ac:dyDescent="0.25"/>
  <cols>
    <col min="1" max="1" width="10.81640625" style="58"/>
    <col min="2" max="2" width="23.90625" style="58" bestFit="1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35" ht="13.5" thickTop="1" x14ac:dyDescent="0.3">
      <c r="A1" s="206" t="s">
        <v>55</v>
      </c>
      <c r="B1" s="207" t="s">
        <v>80</v>
      </c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35" ht="13" x14ac:dyDescent="0.3">
      <c r="A2" s="210">
        <v>44624</v>
      </c>
      <c r="B2" s="56" t="s">
        <v>295</v>
      </c>
      <c r="C2" s="205"/>
      <c r="D2" s="204">
        <v>30</v>
      </c>
      <c r="E2" s="219"/>
      <c r="F2" s="204">
        <f t="shared" ref="F2:F25" si="0">SUM(C2:E2)</f>
        <v>30</v>
      </c>
      <c r="G2" s="211" t="s">
        <v>145</v>
      </c>
    </row>
    <row r="3" spans="1:35" ht="13" x14ac:dyDescent="0.3">
      <c r="A3" s="210">
        <v>44624</v>
      </c>
      <c r="B3" s="56" t="s">
        <v>288</v>
      </c>
      <c r="C3" s="205"/>
      <c r="D3" s="204">
        <v>92</v>
      </c>
      <c r="E3" s="219"/>
      <c r="F3" s="204">
        <f>SUM(C3:E3)</f>
        <v>92</v>
      </c>
      <c r="G3" s="211" t="s">
        <v>145</v>
      </c>
    </row>
    <row r="4" spans="1:35" ht="13" x14ac:dyDescent="0.3">
      <c r="A4" s="210">
        <v>44624</v>
      </c>
      <c r="B4" s="56" t="s">
        <v>290</v>
      </c>
      <c r="C4" s="205"/>
      <c r="D4" s="204"/>
      <c r="E4" s="219">
        <v>15</v>
      </c>
      <c r="F4" s="202">
        <f t="shared" si="0"/>
        <v>15</v>
      </c>
      <c r="G4" s="211" t="s">
        <v>145</v>
      </c>
    </row>
    <row r="5" spans="1:35" ht="13" x14ac:dyDescent="0.3">
      <c r="A5" s="210">
        <v>44624</v>
      </c>
      <c r="B5" s="56" t="s">
        <v>291</v>
      </c>
      <c r="C5" s="205"/>
      <c r="D5" s="204">
        <v>42</v>
      </c>
      <c r="E5" s="219"/>
      <c r="F5" s="202">
        <f t="shared" si="0"/>
        <v>42</v>
      </c>
      <c r="G5" s="211" t="s">
        <v>145</v>
      </c>
    </row>
    <row r="6" spans="1:35" ht="13" x14ac:dyDescent="0.3">
      <c r="A6" s="210">
        <v>44624</v>
      </c>
      <c r="B6" s="56" t="s">
        <v>292</v>
      </c>
      <c r="C6" s="205"/>
      <c r="D6" s="204"/>
      <c r="E6" s="219">
        <v>74</v>
      </c>
      <c r="F6" s="202">
        <f t="shared" si="0"/>
        <v>74</v>
      </c>
      <c r="G6" s="211" t="s">
        <v>145</v>
      </c>
    </row>
    <row r="7" spans="1:35" ht="13" x14ac:dyDescent="0.3">
      <c r="A7" s="210">
        <v>44624</v>
      </c>
      <c r="B7" s="56" t="s">
        <v>293</v>
      </c>
      <c r="C7" s="205"/>
      <c r="D7" s="204">
        <v>49.5</v>
      </c>
      <c r="E7" s="219"/>
      <c r="F7" s="202">
        <f t="shared" si="0"/>
        <v>49.5</v>
      </c>
      <c r="G7" s="211" t="s">
        <v>145</v>
      </c>
    </row>
    <row r="8" spans="1:35" ht="13" x14ac:dyDescent="0.3">
      <c r="A8" s="210">
        <v>44624</v>
      </c>
      <c r="B8" s="56" t="s">
        <v>294</v>
      </c>
      <c r="C8" s="205"/>
      <c r="D8" s="204"/>
      <c r="E8" s="219">
        <v>56</v>
      </c>
      <c r="F8" s="202">
        <f t="shared" si="0"/>
        <v>56</v>
      </c>
      <c r="G8" s="211" t="s">
        <v>145</v>
      </c>
    </row>
    <row r="9" spans="1:35" ht="13" x14ac:dyDescent="0.3">
      <c r="A9" s="210">
        <v>44624</v>
      </c>
      <c r="B9" s="56" t="s">
        <v>289</v>
      </c>
      <c r="C9" s="205"/>
      <c r="D9" s="204"/>
      <c r="E9" s="219">
        <v>10</v>
      </c>
      <c r="F9" s="202">
        <f t="shared" si="0"/>
        <v>10</v>
      </c>
      <c r="G9" s="211" t="s">
        <v>145</v>
      </c>
    </row>
    <row r="10" spans="1:35" s="162" customFormat="1" ht="13" x14ac:dyDescent="0.3">
      <c r="A10" s="210">
        <v>44624</v>
      </c>
      <c r="B10" s="56" t="s">
        <v>289</v>
      </c>
      <c r="C10" s="205"/>
      <c r="D10" s="200"/>
      <c r="E10" s="219">
        <v>6</v>
      </c>
      <c r="F10" s="202">
        <f t="shared" si="0"/>
        <v>6</v>
      </c>
      <c r="G10" s="211" t="s">
        <v>145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3" x14ac:dyDescent="0.3">
      <c r="A11" s="210">
        <v>44626</v>
      </c>
      <c r="B11" s="56" t="s">
        <v>299</v>
      </c>
      <c r="C11" s="205"/>
      <c r="D11" s="204"/>
      <c r="E11" s="204">
        <v>31.5</v>
      </c>
      <c r="F11" s="202">
        <f t="shared" ref="F11:F15" si="1">SUM(C11:E11)</f>
        <v>31.5</v>
      </c>
      <c r="G11" s="211" t="s">
        <v>145</v>
      </c>
    </row>
    <row r="12" spans="1:35" ht="13" x14ac:dyDescent="0.3">
      <c r="A12" s="210">
        <v>44626</v>
      </c>
      <c r="B12" s="56" t="s">
        <v>299</v>
      </c>
      <c r="C12" s="205"/>
      <c r="D12" s="204"/>
      <c r="E12" s="204">
        <v>11.5</v>
      </c>
      <c r="F12" s="202">
        <f t="shared" si="1"/>
        <v>11.5</v>
      </c>
      <c r="G12" s="211" t="s">
        <v>145</v>
      </c>
    </row>
    <row r="13" spans="1:35" ht="13" x14ac:dyDescent="0.3">
      <c r="A13" s="210">
        <v>44626</v>
      </c>
      <c r="B13" s="56" t="s">
        <v>300</v>
      </c>
      <c r="C13" s="205"/>
      <c r="D13" s="204"/>
      <c r="E13" s="204">
        <v>31</v>
      </c>
      <c r="F13" s="202">
        <f t="shared" si="1"/>
        <v>31</v>
      </c>
      <c r="G13" s="211" t="s">
        <v>145</v>
      </c>
    </row>
    <row r="14" spans="1:35" ht="13" x14ac:dyDescent="0.3">
      <c r="A14" s="210">
        <v>44626</v>
      </c>
      <c r="B14" s="56" t="s">
        <v>301</v>
      </c>
      <c r="C14" s="205"/>
      <c r="D14" s="204"/>
      <c r="E14" s="205">
        <v>1</v>
      </c>
      <c r="F14" s="202">
        <f t="shared" si="1"/>
        <v>1</v>
      </c>
      <c r="G14" s="211" t="s">
        <v>145</v>
      </c>
    </row>
    <row r="15" spans="1:35" s="162" customFormat="1" ht="13" x14ac:dyDescent="0.3">
      <c r="A15" s="210">
        <v>44632</v>
      </c>
      <c r="B15" s="56" t="s">
        <v>317</v>
      </c>
      <c r="C15" s="205"/>
      <c r="D15" s="200"/>
      <c r="E15" s="204">
        <v>7.5</v>
      </c>
      <c r="F15" s="202">
        <f t="shared" si="1"/>
        <v>7.5</v>
      </c>
      <c r="G15" s="211" t="s">
        <v>145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3" customFormat="1" ht="13" x14ac:dyDescent="0.3">
      <c r="A16" s="210">
        <v>44632</v>
      </c>
      <c r="B16" s="56" t="s">
        <v>318</v>
      </c>
      <c r="C16" s="205"/>
      <c r="D16" s="200"/>
      <c r="E16" s="204">
        <v>20</v>
      </c>
      <c r="F16" s="202">
        <f t="shared" si="0"/>
        <v>20</v>
      </c>
      <c r="G16" s="211" t="s">
        <v>145</v>
      </c>
    </row>
    <row r="17" spans="1:7" s="3" customFormat="1" ht="13" x14ac:dyDescent="0.3">
      <c r="A17" s="210">
        <v>44632</v>
      </c>
      <c r="B17" s="56" t="s">
        <v>315</v>
      </c>
      <c r="C17" s="205"/>
      <c r="D17" s="200"/>
      <c r="E17" s="204">
        <v>63</v>
      </c>
      <c r="F17" s="202">
        <f t="shared" si="0"/>
        <v>63</v>
      </c>
      <c r="G17" s="211" t="s">
        <v>145</v>
      </c>
    </row>
    <row r="18" spans="1:7" s="3" customFormat="1" ht="13" x14ac:dyDescent="0.3">
      <c r="A18" s="210">
        <v>44632</v>
      </c>
      <c r="B18" s="56" t="s">
        <v>316</v>
      </c>
      <c r="C18" s="205"/>
      <c r="D18" s="200"/>
      <c r="E18" s="204">
        <v>30</v>
      </c>
      <c r="F18" s="202">
        <f t="shared" si="0"/>
        <v>30</v>
      </c>
      <c r="G18" s="211" t="s">
        <v>145</v>
      </c>
    </row>
    <row r="19" spans="1:7" s="3" customFormat="1" ht="13" x14ac:dyDescent="0.3">
      <c r="A19" s="210">
        <v>44632</v>
      </c>
      <c r="B19" s="56" t="s">
        <v>319</v>
      </c>
      <c r="C19" s="205"/>
      <c r="D19" s="200"/>
      <c r="E19" s="204">
        <v>14.7</v>
      </c>
      <c r="F19" s="202">
        <f t="shared" si="0"/>
        <v>14.7</v>
      </c>
      <c r="G19" s="211" t="s">
        <v>145</v>
      </c>
    </row>
    <row r="20" spans="1:7" s="3" customFormat="1" ht="13" x14ac:dyDescent="0.3">
      <c r="A20" s="210">
        <v>44632</v>
      </c>
      <c r="B20" s="56" t="s">
        <v>316</v>
      </c>
      <c r="C20" s="205"/>
      <c r="D20" s="200">
        <v>16</v>
      </c>
      <c r="E20" s="204"/>
      <c r="F20" s="202">
        <f t="shared" si="0"/>
        <v>16</v>
      </c>
      <c r="G20" s="211" t="s">
        <v>145</v>
      </c>
    </row>
    <row r="21" spans="1:7" s="3" customFormat="1" ht="13" x14ac:dyDescent="0.3">
      <c r="A21" s="210">
        <v>44637</v>
      </c>
      <c r="B21" s="56" t="s">
        <v>324</v>
      </c>
      <c r="C21" s="205"/>
      <c r="D21" s="200">
        <v>83.7</v>
      </c>
      <c r="E21" s="204"/>
      <c r="F21" s="202">
        <f t="shared" si="0"/>
        <v>83.7</v>
      </c>
      <c r="G21" s="211" t="s">
        <v>145</v>
      </c>
    </row>
    <row r="22" spans="1:7" s="3" customFormat="1" ht="13" x14ac:dyDescent="0.3">
      <c r="A22" s="210">
        <v>44638</v>
      </c>
      <c r="B22" s="56" t="s">
        <v>324</v>
      </c>
      <c r="C22" s="205"/>
      <c r="D22" s="200"/>
      <c r="E22" s="204">
        <v>3</v>
      </c>
      <c r="F22" s="202">
        <f t="shared" si="0"/>
        <v>3</v>
      </c>
      <c r="G22" s="211" t="s">
        <v>145</v>
      </c>
    </row>
    <row r="23" spans="1:7" s="3" customFormat="1" ht="13" x14ac:dyDescent="0.3">
      <c r="A23" s="273">
        <v>44638</v>
      </c>
      <c r="B23" s="231" t="s">
        <v>325</v>
      </c>
      <c r="C23" s="205"/>
      <c r="D23" s="200">
        <v>133</v>
      </c>
      <c r="E23" s="204"/>
      <c r="F23" s="202"/>
      <c r="G23" s="211" t="s">
        <v>145</v>
      </c>
    </row>
    <row r="24" spans="1:7" s="3" customFormat="1" ht="13" x14ac:dyDescent="0.3">
      <c r="A24" s="273">
        <v>44638</v>
      </c>
      <c r="B24" s="231" t="s">
        <v>326</v>
      </c>
      <c r="C24" s="205"/>
      <c r="D24" s="200">
        <v>80</v>
      </c>
      <c r="E24" s="204"/>
      <c r="F24" s="202"/>
      <c r="G24" s="211" t="s">
        <v>145</v>
      </c>
    </row>
    <row r="25" spans="1:7" s="3" customFormat="1" ht="13" x14ac:dyDescent="0.3">
      <c r="A25" s="273">
        <v>44638</v>
      </c>
      <c r="B25" s="231" t="s">
        <v>327</v>
      </c>
      <c r="C25" s="205"/>
      <c r="D25" s="200"/>
      <c r="E25" s="204">
        <v>2</v>
      </c>
      <c r="F25" s="202">
        <f t="shared" si="0"/>
        <v>2</v>
      </c>
      <c r="G25" s="211" t="s">
        <v>145</v>
      </c>
    </row>
    <row r="26" spans="1:7" s="3" customFormat="1" ht="13" x14ac:dyDescent="0.3">
      <c r="A26" s="273">
        <v>44638</v>
      </c>
      <c r="B26" s="231" t="s">
        <v>328</v>
      </c>
      <c r="C26" s="205"/>
      <c r="D26" s="200"/>
      <c r="E26" s="204">
        <v>12</v>
      </c>
      <c r="F26" s="202">
        <f t="shared" ref="F26" si="2">SUM(C26:E26)</f>
        <v>12</v>
      </c>
      <c r="G26" s="211" t="s">
        <v>145</v>
      </c>
    </row>
    <row r="27" spans="1:7" s="3" customFormat="1" ht="13" x14ac:dyDescent="0.3">
      <c r="A27" s="273">
        <v>44638</v>
      </c>
      <c r="B27" s="231" t="s">
        <v>329</v>
      </c>
      <c r="C27" s="205"/>
      <c r="D27" s="200">
        <v>82</v>
      </c>
      <c r="E27" s="204"/>
      <c r="F27" s="202">
        <f t="shared" ref="F27" si="3">SUM(C27:E27)</f>
        <v>82</v>
      </c>
      <c r="G27" s="211" t="s">
        <v>145</v>
      </c>
    </row>
    <row r="28" spans="1:7" s="3" customFormat="1" ht="13" x14ac:dyDescent="0.3">
      <c r="A28" s="210">
        <v>44640</v>
      </c>
      <c r="B28" s="56" t="s">
        <v>330</v>
      </c>
      <c r="C28" s="205"/>
      <c r="D28" s="200">
        <v>47.5</v>
      </c>
      <c r="E28" s="204"/>
      <c r="F28" s="202">
        <f t="shared" ref="F28" si="4">SUM(C28:E28)</f>
        <v>47.5</v>
      </c>
      <c r="G28" s="211" t="s">
        <v>145</v>
      </c>
    </row>
    <row r="29" spans="1:7" s="3" customFormat="1" ht="13" x14ac:dyDescent="0.3">
      <c r="A29" s="210">
        <v>44645</v>
      </c>
      <c r="B29" s="56" t="s">
        <v>331</v>
      </c>
      <c r="C29" s="205"/>
      <c r="D29" s="200"/>
      <c r="E29" s="204">
        <v>36</v>
      </c>
      <c r="F29" s="202">
        <f t="shared" ref="F29:F35" si="5">SUM(C29:E29)</f>
        <v>36</v>
      </c>
      <c r="G29" s="211" t="s">
        <v>145</v>
      </c>
    </row>
    <row r="30" spans="1:7" s="3" customFormat="1" ht="13" x14ac:dyDescent="0.3">
      <c r="A30" s="210">
        <v>44645</v>
      </c>
      <c r="B30" s="56" t="s">
        <v>332</v>
      </c>
      <c r="C30" s="205"/>
      <c r="D30" s="200"/>
      <c r="E30" s="204">
        <v>38.5</v>
      </c>
      <c r="F30" s="202">
        <f t="shared" si="5"/>
        <v>38.5</v>
      </c>
      <c r="G30" s="211" t="s">
        <v>145</v>
      </c>
    </row>
    <row r="31" spans="1:7" s="3" customFormat="1" ht="13" x14ac:dyDescent="0.3">
      <c r="A31" s="210">
        <v>44645</v>
      </c>
      <c r="B31" s="56" t="s">
        <v>332</v>
      </c>
      <c r="C31" s="205"/>
      <c r="D31" s="200"/>
      <c r="E31" s="204">
        <v>12</v>
      </c>
      <c r="F31" s="202">
        <f t="shared" si="5"/>
        <v>12</v>
      </c>
      <c r="G31" s="211" t="s">
        <v>145</v>
      </c>
    </row>
    <row r="32" spans="1:7" s="3" customFormat="1" ht="13" x14ac:dyDescent="0.3">
      <c r="A32" s="210">
        <v>44645</v>
      </c>
      <c r="B32" s="56" t="s">
        <v>333</v>
      </c>
      <c r="C32" s="205"/>
      <c r="D32" s="200">
        <v>19.5</v>
      </c>
      <c r="E32" s="204"/>
      <c r="F32" s="202">
        <f t="shared" si="5"/>
        <v>19.5</v>
      </c>
      <c r="G32" s="211" t="s">
        <v>145</v>
      </c>
    </row>
    <row r="33" spans="1:9" s="3" customFormat="1" ht="13" x14ac:dyDescent="0.3">
      <c r="A33" s="210">
        <v>44645</v>
      </c>
      <c r="B33" s="56" t="s">
        <v>334</v>
      </c>
      <c r="C33" s="205"/>
      <c r="D33" s="200">
        <v>60</v>
      </c>
      <c r="E33" s="204"/>
      <c r="F33" s="202">
        <f t="shared" si="5"/>
        <v>60</v>
      </c>
      <c r="G33" s="211" t="s">
        <v>145</v>
      </c>
    </row>
    <row r="34" spans="1:9" s="3" customFormat="1" ht="13" x14ac:dyDescent="0.3">
      <c r="A34" s="210">
        <v>44645</v>
      </c>
      <c r="B34" s="56" t="s">
        <v>335</v>
      </c>
      <c r="C34" s="205"/>
      <c r="D34" s="200"/>
      <c r="E34" s="204">
        <v>34</v>
      </c>
      <c r="F34" s="202">
        <f t="shared" si="5"/>
        <v>34</v>
      </c>
      <c r="G34" s="211" t="s">
        <v>145</v>
      </c>
    </row>
    <row r="35" spans="1:9" s="3" customFormat="1" ht="13" x14ac:dyDescent="0.3">
      <c r="A35" s="210">
        <v>44645</v>
      </c>
      <c r="B35" s="56" t="s">
        <v>336</v>
      </c>
      <c r="C35" s="205"/>
      <c r="D35" s="200"/>
      <c r="E35" s="204">
        <v>46</v>
      </c>
      <c r="F35" s="202">
        <f t="shared" si="5"/>
        <v>46</v>
      </c>
      <c r="G35" s="211" t="s">
        <v>145</v>
      </c>
    </row>
    <row r="36" spans="1:9" s="3" customFormat="1" ht="13" thickBot="1" x14ac:dyDescent="0.3">
      <c r="A36" s="212"/>
      <c r="B36" s="213" t="s">
        <v>0</v>
      </c>
      <c r="C36" s="214">
        <f>SUM(C2:C35)</f>
        <v>0</v>
      </c>
      <c r="D36" s="214">
        <f>SUM(D2:D35)</f>
        <v>735.2</v>
      </c>
      <c r="E36" s="214">
        <f>SUM(E2:E35)</f>
        <v>554.70000000000005</v>
      </c>
      <c r="F36" s="215">
        <f>SUM(C36:E36)</f>
        <v>1289.9000000000001</v>
      </c>
      <c r="G36" s="216"/>
      <c r="I36" s="381"/>
    </row>
    <row r="37" spans="1:9" s="3" customFormat="1" ht="11" thickTop="1" x14ac:dyDescent="0.25">
      <c r="D37" s="1"/>
      <c r="E37" s="1"/>
    </row>
    <row r="38" spans="1:9" s="3" customFormat="1" x14ac:dyDescent="0.25">
      <c r="D38" s="1"/>
      <c r="E38" s="1"/>
    </row>
    <row r="39" spans="1:9" s="3" customFormat="1" x14ac:dyDescent="0.25">
      <c r="D39" s="1"/>
      <c r="E39" s="1"/>
    </row>
    <row r="40" spans="1:9" s="3" customFormat="1" x14ac:dyDescent="0.25">
      <c r="D40" s="1"/>
      <c r="E40" s="1"/>
    </row>
    <row r="41" spans="1:9" s="3" customFormat="1" x14ac:dyDescent="0.25">
      <c r="D41" s="1"/>
      <c r="E41" s="1"/>
    </row>
    <row r="42" spans="1:9" s="3" customFormat="1" x14ac:dyDescent="0.25">
      <c r="D42" s="1"/>
      <c r="E42" s="1"/>
    </row>
    <row r="43" spans="1:9" s="3" customFormat="1" x14ac:dyDescent="0.25">
      <c r="D43" s="1"/>
      <c r="E43" s="1"/>
    </row>
    <row r="44" spans="1:9" s="3" customFormat="1" x14ac:dyDescent="0.25">
      <c r="D44" s="1"/>
      <c r="E44" s="1"/>
      <c r="I44" s="381"/>
    </row>
    <row r="45" spans="1:9" s="3" customFormat="1" x14ac:dyDescent="0.25">
      <c r="D45" s="1"/>
      <c r="E45" s="1"/>
    </row>
    <row r="46" spans="1:9" s="3" customFormat="1" x14ac:dyDescent="0.25">
      <c r="D46" s="1"/>
      <c r="E46" s="1"/>
    </row>
    <row r="47" spans="1:9" s="3" customFormat="1" x14ac:dyDescent="0.25">
      <c r="D47" s="1"/>
      <c r="E47" s="1"/>
    </row>
    <row r="48" spans="1:9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  <row r="1133" spans="4:5" s="3" customFormat="1" x14ac:dyDescent="0.25">
      <c r="D1133" s="1"/>
      <c r="E1133" s="1"/>
    </row>
    <row r="1134" spans="4:5" s="3" customFormat="1" x14ac:dyDescent="0.25">
      <c r="D1134" s="1"/>
      <c r="E1134" s="1"/>
    </row>
    <row r="1135" spans="4:5" s="3" customFormat="1" x14ac:dyDescent="0.25">
      <c r="D1135" s="1"/>
      <c r="E1135" s="1"/>
    </row>
    <row r="1136" spans="4:5" s="3" customFormat="1" x14ac:dyDescent="0.25">
      <c r="D1136" s="1"/>
      <c r="E1136" s="1"/>
    </row>
    <row r="1137" spans="4:5" s="3" customFormat="1" x14ac:dyDescent="0.25">
      <c r="D1137" s="1"/>
      <c r="E1137" s="1"/>
    </row>
    <row r="1138" spans="4:5" s="3" customFormat="1" x14ac:dyDescent="0.25">
      <c r="D1138" s="1"/>
      <c r="E1138" s="1"/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I1133"/>
  <sheetViews>
    <sheetView showGridLines="0" workbookViewId="0">
      <selection activeCell="D28" sqref="D28"/>
    </sheetView>
  </sheetViews>
  <sheetFormatPr baseColWidth="10" defaultColWidth="10.81640625" defaultRowHeight="10.5" x14ac:dyDescent="0.25"/>
  <cols>
    <col min="1" max="1" width="10.81640625" style="58"/>
    <col min="2" max="2" width="23.90625" style="58" bestFit="1" customWidth="1"/>
    <col min="3" max="3" width="10.81640625" style="58"/>
    <col min="4" max="4" width="10.81640625" style="153" bestFit="1" customWidth="1"/>
    <col min="5" max="5" width="16.453125" style="153" bestFit="1" customWidth="1"/>
    <col min="6" max="6" width="10.81640625" style="58"/>
    <col min="7" max="7" width="10.81640625" style="163"/>
    <col min="8" max="8" width="10.81640625" style="3"/>
    <col min="9" max="9" width="15.90625" style="3" customWidth="1"/>
    <col min="10" max="35" width="10.81640625" style="3"/>
    <col min="36" max="16384" width="10.81640625" style="58"/>
  </cols>
  <sheetData>
    <row r="1" spans="1:7" ht="13" thickTop="1" x14ac:dyDescent="0.25">
      <c r="A1" s="206" t="s">
        <v>55</v>
      </c>
      <c r="B1" s="208"/>
      <c r="C1" s="208" t="s">
        <v>56</v>
      </c>
      <c r="D1" s="208" t="s">
        <v>57</v>
      </c>
      <c r="E1" s="208" t="s">
        <v>58</v>
      </c>
      <c r="F1" s="208" t="s">
        <v>0</v>
      </c>
      <c r="G1" s="209" t="s">
        <v>33</v>
      </c>
    </row>
    <row r="2" spans="1:7" ht="12.5" x14ac:dyDescent="0.25">
      <c r="A2" s="210">
        <v>44624</v>
      </c>
      <c r="B2" s="56" t="s">
        <v>296</v>
      </c>
      <c r="C2" s="199"/>
      <c r="D2" s="200">
        <v>70</v>
      </c>
      <c r="E2" s="201"/>
      <c r="F2" s="202">
        <f t="shared" ref="F2:F16" si="0">SUM(C2:E2)</f>
        <v>70</v>
      </c>
      <c r="G2" s="217" t="s">
        <v>145</v>
      </c>
    </row>
    <row r="3" spans="1:7" ht="12.5" x14ac:dyDescent="0.25">
      <c r="A3" s="210">
        <v>44624</v>
      </c>
      <c r="B3" s="56" t="s">
        <v>297</v>
      </c>
      <c r="C3" s="199"/>
      <c r="D3" s="200">
        <v>80</v>
      </c>
      <c r="E3" s="203"/>
      <c r="F3" s="202">
        <f t="shared" si="0"/>
        <v>80</v>
      </c>
      <c r="G3" s="217" t="s">
        <v>145</v>
      </c>
    </row>
    <row r="4" spans="1:7" ht="12.5" x14ac:dyDescent="0.25">
      <c r="A4" s="210">
        <v>44625</v>
      </c>
      <c r="B4" s="56" t="s">
        <v>298</v>
      </c>
      <c r="C4" s="199">
        <v>30</v>
      </c>
      <c r="D4" s="200"/>
      <c r="E4" s="203"/>
      <c r="F4" s="204">
        <f t="shared" si="0"/>
        <v>30</v>
      </c>
      <c r="G4" s="217" t="s">
        <v>145</v>
      </c>
    </row>
    <row r="5" spans="1:7" ht="12.5" x14ac:dyDescent="0.25">
      <c r="A5" s="210">
        <v>44626</v>
      </c>
      <c r="B5" s="231" t="s">
        <v>302</v>
      </c>
      <c r="C5" s="199"/>
      <c r="D5" s="465">
        <v>100</v>
      </c>
      <c r="E5" s="203"/>
      <c r="F5" s="204">
        <f t="shared" si="0"/>
        <v>100</v>
      </c>
      <c r="G5" s="217" t="s">
        <v>145</v>
      </c>
    </row>
    <row r="6" spans="1:7" ht="12.5" x14ac:dyDescent="0.25">
      <c r="A6" s="210">
        <v>44626</v>
      </c>
      <c r="B6" s="231" t="s">
        <v>303</v>
      </c>
      <c r="C6" s="199"/>
      <c r="D6" s="466">
        <v>100</v>
      </c>
      <c r="E6" s="203"/>
      <c r="F6" s="204">
        <f t="shared" si="0"/>
        <v>100</v>
      </c>
      <c r="G6" s="217" t="s">
        <v>145</v>
      </c>
    </row>
    <row r="7" spans="1:7" ht="12.5" x14ac:dyDescent="0.25">
      <c r="A7" s="210">
        <v>44626</v>
      </c>
      <c r="B7" s="231" t="s">
        <v>304</v>
      </c>
      <c r="C7" s="199"/>
      <c r="D7" s="467">
        <v>949.7</v>
      </c>
      <c r="E7" s="203"/>
      <c r="F7" s="204">
        <f t="shared" si="0"/>
        <v>949.7</v>
      </c>
      <c r="G7" s="217" t="s">
        <v>145</v>
      </c>
    </row>
    <row r="8" spans="1:7" ht="12.5" x14ac:dyDescent="0.25">
      <c r="A8" s="273">
        <v>44627</v>
      </c>
      <c r="B8" s="231" t="s">
        <v>305</v>
      </c>
      <c r="C8" s="199">
        <v>50</v>
      </c>
      <c r="D8" s="200"/>
      <c r="E8" s="203"/>
      <c r="F8" s="204">
        <f t="shared" si="0"/>
        <v>50</v>
      </c>
      <c r="G8" s="217" t="s">
        <v>145</v>
      </c>
    </row>
    <row r="9" spans="1:7" ht="12.5" x14ac:dyDescent="0.25">
      <c r="A9" s="210">
        <v>44629</v>
      </c>
      <c r="B9" s="56" t="s">
        <v>306</v>
      </c>
      <c r="C9" s="199">
        <v>133.63999999999999</v>
      </c>
      <c r="D9" s="200"/>
      <c r="E9" s="203"/>
      <c r="F9" s="204">
        <f t="shared" si="0"/>
        <v>133.63999999999999</v>
      </c>
      <c r="G9" s="217" t="s">
        <v>145</v>
      </c>
    </row>
    <row r="10" spans="1:7" ht="12.5" x14ac:dyDescent="0.25">
      <c r="A10" s="210">
        <v>44631</v>
      </c>
      <c r="B10" s="56" t="s">
        <v>303</v>
      </c>
      <c r="C10" s="199">
        <v>60</v>
      </c>
      <c r="D10" s="200"/>
      <c r="E10" s="203"/>
      <c r="F10" s="204">
        <f t="shared" si="0"/>
        <v>60</v>
      </c>
      <c r="G10" s="217" t="s">
        <v>145</v>
      </c>
    </row>
    <row r="11" spans="1:7" ht="12.5" x14ac:dyDescent="0.25">
      <c r="A11" s="210">
        <v>44631</v>
      </c>
      <c r="B11" s="56" t="s">
        <v>313</v>
      </c>
      <c r="C11" s="199">
        <v>24</v>
      </c>
      <c r="D11" s="200"/>
      <c r="E11" s="203"/>
      <c r="F11" s="204">
        <f t="shared" si="0"/>
        <v>24</v>
      </c>
      <c r="G11" s="217" t="s">
        <v>145</v>
      </c>
    </row>
    <row r="12" spans="1:7" ht="12.5" x14ac:dyDescent="0.25">
      <c r="A12" s="210">
        <v>44632</v>
      </c>
      <c r="B12" s="56" t="s">
        <v>314</v>
      </c>
      <c r="C12" s="199"/>
      <c r="D12" s="200">
        <v>108</v>
      </c>
      <c r="E12" s="203"/>
      <c r="F12" s="204">
        <f t="shared" si="0"/>
        <v>108</v>
      </c>
      <c r="G12" s="217" t="s">
        <v>145</v>
      </c>
    </row>
    <row r="13" spans="1:7" ht="12.5" x14ac:dyDescent="0.25">
      <c r="A13" s="210">
        <v>44632</v>
      </c>
      <c r="B13" s="56" t="s">
        <v>320</v>
      </c>
      <c r="C13" s="199">
        <v>700</v>
      </c>
      <c r="D13" s="200"/>
      <c r="E13" s="203"/>
      <c r="F13" s="204">
        <f t="shared" si="0"/>
        <v>700</v>
      </c>
      <c r="G13" s="217" t="s">
        <v>145</v>
      </c>
    </row>
    <row r="14" spans="1:7" ht="12.5" x14ac:dyDescent="0.25">
      <c r="A14" s="210">
        <v>44637</v>
      </c>
      <c r="B14" s="56" t="s">
        <v>322</v>
      </c>
      <c r="C14" s="199"/>
      <c r="D14" s="200">
        <v>100</v>
      </c>
      <c r="E14" s="203"/>
      <c r="F14" s="204">
        <f t="shared" si="0"/>
        <v>100</v>
      </c>
      <c r="G14" s="217" t="s">
        <v>145</v>
      </c>
    </row>
    <row r="15" spans="1:7" ht="12.5" x14ac:dyDescent="0.25">
      <c r="A15" s="210">
        <v>44637</v>
      </c>
      <c r="B15" s="56" t="s">
        <v>323</v>
      </c>
      <c r="C15" s="199"/>
      <c r="D15" s="200">
        <v>150</v>
      </c>
      <c r="E15" s="203"/>
      <c r="F15" s="204">
        <f t="shared" si="0"/>
        <v>150</v>
      </c>
      <c r="G15" s="217" t="s">
        <v>145</v>
      </c>
    </row>
    <row r="16" spans="1:7" ht="12.5" x14ac:dyDescent="0.25">
      <c r="A16" s="210">
        <v>44638</v>
      </c>
      <c r="B16" s="56" t="s">
        <v>355</v>
      </c>
      <c r="C16" s="199">
        <v>400</v>
      </c>
      <c r="D16" s="200"/>
      <c r="E16" s="203"/>
      <c r="F16" s="204">
        <f t="shared" si="0"/>
        <v>400</v>
      </c>
      <c r="G16" s="217" t="s">
        <v>145</v>
      </c>
    </row>
    <row r="17" spans="1:35" ht="12.5" x14ac:dyDescent="0.25">
      <c r="A17" s="210">
        <v>44642</v>
      </c>
      <c r="B17" s="56" t="s">
        <v>171</v>
      </c>
      <c r="C17" s="199">
        <v>100.8</v>
      </c>
      <c r="D17" s="200"/>
      <c r="E17" s="203"/>
      <c r="F17" s="204">
        <f t="shared" ref="F17:F18" si="1">SUM(C17:E17)</f>
        <v>100.8</v>
      </c>
      <c r="G17" s="217" t="s">
        <v>145</v>
      </c>
    </row>
    <row r="18" spans="1:35" ht="12.5" x14ac:dyDescent="0.25">
      <c r="A18" s="210">
        <v>44647</v>
      </c>
      <c r="B18" s="56" t="s">
        <v>338</v>
      </c>
      <c r="C18" s="199">
        <v>50</v>
      </c>
      <c r="D18" s="200"/>
      <c r="E18" s="203"/>
      <c r="F18" s="204">
        <f t="shared" si="1"/>
        <v>50</v>
      </c>
      <c r="G18" s="217" t="s">
        <v>145</v>
      </c>
    </row>
    <row r="19" spans="1:35" ht="12.5" x14ac:dyDescent="0.25">
      <c r="A19" s="210">
        <v>44649</v>
      </c>
      <c r="B19" s="56" t="s">
        <v>341</v>
      </c>
      <c r="C19" s="199">
        <v>118</v>
      </c>
      <c r="D19" s="200"/>
      <c r="E19" s="203"/>
      <c r="F19" s="204">
        <f t="shared" ref="F19:F22" si="2">SUM(C19:E19)</f>
        <v>118</v>
      </c>
      <c r="G19" s="217" t="s">
        <v>145</v>
      </c>
    </row>
    <row r="20" spans="1:35" ht="12.5" x14ac:dyDescent="0.25">
      <c r="A20" s="210">
        <v>44650</v>
      </c>
      <c r="B20" s="56" t="s">
        <v>342</v>
      </c>
      <c r="C20" s="199">
        <v>120</v>
      </c>
      <c r="D20" s="200"/>
      <c r="E20" s="203"/>
      <c r="F20" s="204">
        <f t="shared" si="2"/>
        <v>120</v>
      </c>
      <c r="G20" s="217" t="s">
        <v>145</v>
      </c>
    </row>
    <row r="21" spans="1:35" ht="12.5" x14ac:dyDescent="0.25">
      <c r="A21" s="210">
        <v>44650</v>
      </c>
      <c r="B21" s="56" t="s">
        <v>344</v>
      </c>
      <c r="C21" s="199">
        <v>100</v>
      </c>
      <c r="D21" s="200"/>
      <c r="E21" s="203"/>
      <c r="F21" s="204">
        <f t="shared" si="2"/>
        <v>100</v>
      </c>
      <c r="G21" s="217" t="s">
        <v>145</v>
      </c>
    </row>
    <row r="22" spans="1:35" ht="12.5" x14ac:dyDescent="0.25">
      <c r="A22" s="210">
        <v>44650</v>
      </c>
      <c r="B22" s="56" t="s">
        <v>346</v>
      </c>
      <c r="C22" s="199">
        <v>75</v>
      </c>
      <c r="D22" s="200"/>
      <c r="E22" s="203"/>
      <c r="F22" s="204">
        <f t="shared" si="2"/>
        <v>75</v>
      </c>
      <c r="G22" s="217" t="s">
        <v>145</v>
      </c>
    </row>
    <row r="23" spans="1:35" s="162" customFormat="1" ht="13" thickBot="1" x14ac:dyDescent="0.3">
      <c r="A23" s="212"/>
      <c r="B23" s="213" t="s">
        <v>0</v>
      </c>
      <c r="C23" s="214">
        <f>SUM(C2:C22)</f>
        <v>1961.4399999999998</v>
      </c>
      <c r="D23" s="214">
        <f>SUM(D2:D22)</f>
        <v>1657.7</v>
      </c>
      <c r="E23" s="214">
        <f>SUM(E2:E22)</f>
        <v>0</v>
      </c>
      <c r="F23" s="215">
        <f>SUM(F2:F22)</f>
        <v>3619.1400000000003</v>
      </c>
      <c r="G23" s="2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3" customFormat="1" ht="11" thickTop="1" x14ac:dyDescent="0.25">
      <c r="D24" s="1"/>
      <c r="E24" s="1"/>
    </row>
    <row r="25" spans="1:35" s="3" customFormat="1" x14ac:dyDescent="0.25">
      <c r="D25" s="1"/>
      <c r="E25" s="1"/>
    </row>
    <row r="26" spans="1:35" s="3" customFormat="1" x14ac:dyDescent="0.25">
      <c r="D26" s="1"/>
      <c r="E26" s="1"/>
    </row>
    <row r="27" spans="1:35" s="3" customFormat="1" x14ac:dyDescent="0.25">
      <c r="D27" s="1"/>
      <c r="E27" s="1"/>
    </row>
    <row r="28" spans="1:35" s="3" customFormat="1" x14ac:dyDescent="0.25">
      <c r="D28" s="1"/>
      <c r="E28" s="1"/>
    </row>
    <row r="29" spans="1:35" s="3" customFormat="1" x14ac:dyDescent="0.25">
      <c r="D29" s="1"/>
      <c r="E29" s="1"/>
    </row>
    <row r="30" spans="1:35" s="3" customFormat="1" x14ac:dyDescent="0.25">
      <c r="D30" s="1"/>
      <c r="E30" s="1"/>
    </row>
    <row r="31" spans="1:35" s="3" customFormat="1" x14ac:dyDescent="0.25">
      <c r="D31" s="1"/>
      <c r="E31" s="1"/>
    </row>
    <row r="32" spans="1:35" s="3" customFormat="1" x14ac:dyDescent="0.25">
      <c r="D32" s="1"/>
      <c r="E32" s="1"/>
    </row>
    <row r="33" spans="4:5" s="3" customFormat="1" x14ac:dyDescent="0.25">
      <c r="D33" s="1"/>
      <c r="E33" s="1"/>
    </row>
    <row r="34" spans="4:5" s="3" customFormat="1" x14ac:dyDescent="0.25">
      <c r="D34" s="1"/>
      <c r="E34" s="1"/>
    </row>
    <row r="35" spans="4:5" s="3" customFormat="1" x14ac:dyDescent="0.25">
      <c r="D35" s="1"/>
      <c r="E35" s="1"/>
    </row>
    <row r="36" spans="4:5" s="3" customFormat="1" x14ac:dyDescent="0.25">
      <c r="D36" s="1"/>
      <c r="E36" s="1"/>
    </row>
    <row r="37" spans="4:5" s="3" customFormat="1" x14ac:dyDescent="0.25">
      <c r="D37" s="1"/>
      <c r="E37" s="1"/>
    </row>
    <row r="38" spans="4:5" s="3" customFormat="1" x14ac:dyDescent="0.25">
      <c r="D38" s="1"/>
      <c r="E38" s="1"/>
    </row>
    <row r="39" spans="4:5" s="3" customFormat="1" x14ac:dyDescent="0.25">
      <c r="D39" s="1"/>
      <c r="E39" s="1"/>
    </row>
    <row r="40" spans="4:5" s="3" customFormat="1" x14ac:dyDescent="0.25">
      <c r="D40" s="1"/>
      <c r="E40" s="1"/>
    </row>
    <row r="41" spans="4:5" s="3" customFormat="1" x14ac:dyDescent="0.25">
      <c r="D41" s="1"/>
      <c r="E41" s="1"/>
    </row>
    <row r="42" spans="4:5" s="3" customFormat="1" x14ac:dyDescent="0.25">
      <c r="D42" s="1"/>
      <c r="E42" s="1"/>
    </row>
    <row r="43" spans="4:5" s="3" customFormat="1" x14ac:dyDescent="0.25">
      <c r="D43" s="1"/>
      <c r="E43" s="1"/>
    </row>
    <row r="44" spans="4:5" s="3" customFormat="1" x14ac:dyDescent="0.25">
      <c r="D44" s="1"/>
      <c r="E44" s="1"/>
    </row>
    <row r="45" spans="4:5" s="3" customFormat="1" x14ac:dyDescent="0.25">
      <c r="D45" s="1"/>
      <c r="E45" s="1"/>
    </row>
    <row r="46" spans="4:5" s="3" customFormat="1" x14ac:dyDescent="0.25">
      <c r="D46" s="1"/>
      <c r="E46" s="1"/>
    </row>
    <row r="47" spans="4:5" s="3" customFormat="1" x14ac:dyDescent="0.25">
      <c r="D47" s="1"/>
      <c r="E47" s="1"/>
    </row>
    <row r="48" spans="4:5" s="3" customFormat="1" x14ac:dyDescent="0.25">
      <c r="D48" s="1"/>
      <c r="E48" s="1"/>
    </row>
    <row r="49" spans="4:5" s="3" customFormat="1" x14ac:dyDescent="0.25">
      <c r="D49" s="1"/>
      <c r="E49" s="1"/>
    </row>
    <row r="50" spans="4:5" s="3" customFormat="1" x14ac:dyDescent="0.25">
      <c r="D50" s="1"/>
      <c r="E50" s="1"/>
    </row>
    <row r="51" spans="4:5" s="3" customFormat="1" x14ac:dyDescent="0.25">
      <c r="D51" s="1"/>
      <c r="E51" s="1"/>
    </row>
    <row r="52" spans="4:5" s="3" customFormat="1" x14ac:dyDescent="0.25">
      <c r="D52" s="1"/>
      <c r="E52" s="1"/>
    </row>
    <row r="53" spans="4:5" s="3" customFormat="1" x14ac:dyDescent="0.25">
      <c r="D53" s="1"/>
      <c r="E53" s="1"/>
    </row>
    <row r="54" spans="4:5" s="3" customFormat="1" x14ac:dyDescent="0.25">
      <c r="D54" s="1"/>
      <c r="E54" s="1"/>
    </row>
    <row r="55" spans="4:5" s="3" customFormat="1" x14ac:dyDescent="0.25">
      <c r="D55" s="1"/>
      <c r="E55" s="1"/>
    </row>
    <row r="56" spans="4:5" s="3" customFormat="1" x14ac:dyDescent="0.25">
      <c r="D56" s="1"/>
      <c r="E56" s="1"/>
    </row>
    <row r="57" spans="4:5" s="3" customFormat="1" x14ac:dyDescent="0.25">
      <c r="D57" s="1"/>
      <c r="E57" s="1"/>
    </row>
    <row r="58" spans="4:5" s="3" customFormat="1" x14ac:dyDescent="0.25">
      <c r="D58" s="1"/>
      <c r="E58" s="1"/>
    </row>
    <row r="59" spans="4:5" s="3" customFormat="1" x14ac:dyDescent="0.25">
      <c r="D59" s="1"/>
      <c r="E59" s="1"/>
    </row>
    <row r="60" spans="4:5" s="3" customFormat="1" x14ac:dyDescent="0.25">
      <c r="D60" s="1"/>
      <c r="E60" s="1"/>
    </row>
    <row r="61" spans="4:5" s="3" customFormat="1" x14ac:dyDescent="0.25">
      <c r="D61" s="1"/>
      <c r="E61" s="1"/>
    </row>
    <row r="62" spans="4:5" s="3" customFormat="1" x14ac:dyDescent="0.25">
      <c r="D62" s="1"/>
      <c r="E62" s="1"/>
    </row>
    <row r="63" spans="4:5" s="3" customFormat="1" x14ac:dyDescent="0.25">
      <c r="D63" s="1"/>
      <c r="E63" s="1"/>
    </row>
    <row r="64" spans="4:5" s="3" customFormat="1" x14ac:dyDescent="0.25">
      <c r="D64" s="1"/>
      <c r="E64" s="1"/>
    </row>
    <row r="65" spans="4:5" s="3" customFormat="1" x14ac:dyDescent="0.25">
      <c r="D65" s="1"/>
      <c r="E65" s="1"/>
    </row>
    <row r="66" spans="4:5" s="3" customFormat="1" x14ac:dyDescent="0.25">
      <c r="D66" s="1"/>
      <c r="E66" s="1"/>
    </row>
    <row r="67" spans="4:5" s="3" customFormat="1" x14ac:dyDescent="0.25">
      <c r="D67" s="1"/>
      <c r="E67" s="1"/>
    </row>
    <row r="68" spans="4:5" s="3" customFormat="1" x14ac:dyDescent="0.25">
      <c r="D68" s="1"/>
      <c r="E68" s="1"/>
    </row>
    <row r="69" spans="4:5" s="3" customFormat="1" x14ac:dyDescent="0.25">
      <c r="D69" s="1"/>
      <c r="E69" s="1"/>
    </row>
    <row r="70" spans="4:5" s="3" customFormat="1" x14ac:dyDescent="0.25">
      <c r="D70" s="1"/>
      <c r="E70" s="1"/>
    </row>
    <row r="71" spans="4:5" s="3" customFormat="1" x14ac:dyDescent="0.25">
      <c r="D71" s="1"/>
      <c r="E71" s="1"/>
    </row>
    <row r="72" spans="4:5" s="3" customFormat="1" x14ac:dyDescent="0.25">
      <c r="D72" s="1"/>
      <c r="E72" s="1"/>
    </row>
    <row r="73" spans="4:5" s="3" customFormat="1" x14ac:dyDescent="0.25">
      <c r="D73" s="1"/>
      <c r="E73" s="1"/>
    </row>
    <row r="74" spans="4:5" s="3" customFormat="1" x14ac:dyDescent="0.25">
      <c r="D74" s="1"/>
      <c r="E74" s="1"/>
    </row>
    <row r="75" spans="4:5" s="3" customFormat="1" x14ac:dyDescent="0.25">
      <c r="D75" s="1"/>
      <c r="E75" s="1"/>
    </row>
    <row r="76" spans="4:5" s="3" customFormat="1" x14ac:dyDescent="0.25">
      <c r="D76" s="1"/>
      <c r="E76" s="1"/>
    </row>
    <row r="77" spans="4:5" s="3" customFormat="1" x14ac:dyDescent="0.25">
      <c r="D77" s="1"/>
      <c r="E77" s="1"/>
    </row>
    <row r="78" spans="4:5" s="3" customFormat="1" x14ac:dyDescent="0.25">
      <c r="D78" s="1"/>
      <c r="E78" s="1"/>
    </row>
    <row r="79" spans="4:5" s="3" customFormat="1" x14ac:dyDescent="0.25">
      <c r="D79" s="1"/>
      <c r="E79" s="1"/>
    </row>
    <row r="80" spans="4:5" s="3" customFormat="1" x14ac:dyDescent="0.25">
      <c r="D80" s="1"/>
      <c r="E80" s="1"/>
    </row>
    <row r="81" spans="4:5" s="3" customFormat="1" x14ac:dyDescent="0.25">
      <c r="D81" s="1"/>
      <c r="E81" s="1"/>
    </row>
    <row r="82" spans="4:5" s="3" customFormat="1" x14ac:dyDescent="0.25">
      <c r="D82" s="1"/>
      <c r="E82" s="1"/>
    </row>
    <row r="83" spans="4:5" s="3" customFormat="1" x14ac:dyDescent="0.25">
      <c r="D83" s="1"/>
      <c r="E83" s="1"/>
    </row>
    <row r="84" spans="4:5" s="3" customFormat="1" x14ac:dyDescent="0.25">
      <c r="D84" s="1"/>
      <c r="E84" s="1"/>
    </row>
    <row r="85" spans="4:5" s="3" customFormat="1" x14ac:dyDescent="0.25">
      <c r="D85" s="1"/>
      <c r="E85" s="1"/>
    </row>
    <row r="86" spans="4:5" s="3" customFormat="1" x14ac:dyDescent="0.25">
      <c r="D86" s="1"/>
      <c r="E86" s="1"/>
    </row>
    <row r="87" spans="4:5" s="3" customFormat="1" x14ac:dyDescent="0.25">
      <c r="D87" s="1"/>
      <c r="E87" s="1"/>
    </row>
    <row r="88" spans="4:5" s="3" customFormat="1" x14ac:dyDescent="0.25">
      <c r="D88" s="1"/>
      <c r="E88" s="1"/>
    </row>
    <row r="89" spans="4:5" s="3" customFormat="1" x14ac:dyDescent="0.25">
      <c r="D89" s="1"/>
      <c r="E89" s="1"/>
    </row>
    <row r="90" spans="4:5" s="3" customFormat="1" x14ac:dyDescent="0.25">
      <c r="D90" s="1"/>
      <c r="E90" s="1"/>
    </row>
    <row r="91" spans="4:5" s="3" customFormat="1" x14ac:dyDescent="0.25">
      <c r="D91" s="1"/>
      <c r="E91" s="1"/>
    </row>
    <row r="92" spans="4:5" s="3" customFormat="1" x14ac:dyDescent="0.25">
      <c r="D92" s="1"/>
      <c r="E92" s="1"/>
    </row>
    <row r="93" spans="4:5" s="3" customFormat="1" x14ac:dyDescent="0.25">
      <c r="D93" s="1"/>
      <c r="E93" s="1"/>
    </row>
    <row r="94" spans="4:5" s="3" customFormat="1" x14ac:dyDescent="0.25">
      <c r="D94" s="1"/>
      <c r="E94" s="1"/>
    </row>
    <row r="95" spans="4:5" s="3" customFormat="1" x14ac:dyDescent="0.25">
      <c r="D95" s="1"/>
      <c r="E95" s="1"/>
    </row>
    <row r="96" spans="4:5" s="3" customFormat="1" x14ac:dyDescent="0.25">
      <c r="D96" s="1"/>
      <c r="E96" s="1"/>
    </row>
    <row r="97" spans="4:5" s="3" customFormat="1" x14ac:dyDescent="0.25">
      <c r="D97" s="1"/>
      <c r="E97" s="1"/>
    </row>
    <row r="98" spans="4:5" s="3" customFormat="1" x14ac:dyDescent="0.25">
      <c r="D98" s="1"/>
      <c r="E98" s="1"/>
    </row>
    <row r="99" spans="4:5" s="3" customFormat="1" x14ac:dyDescent="0.25">
      <c r="D99" s="1"/>
      <c r="E99" s="1"/>
    </row>
    <row r="100" spans="4:5" s="3" customFormat="1" x14ac:dyDescent="0.25">
      <c r="D100" s="1"/>
      <c r="E100" s="1"/>
    </row>
    <row r="101" spans="4:5" s="3" customFormat="1" x14ac:dyDescent="0.25">
      <c r="D101" s="1"/>
      <c r="E101" s="1"/>
    </row>
    <row r="102" spans="4:5" s="3" customFormat="1" x14ac:dyDescent="0.25">
      <c r="D102" s="1"/>
      <c r="E102" s="1"/>
    </row>
    <row r="103" spans="4:5" s="3" customFormat="1" x14ac:dyDescent="0.25">
      <c r="D103" s="1"/>
      <c r="E103" s="1"/>
    </row>
    <row r="104" spans="4:5" s="3" customFormat="1" x14ac:dyDescent="0.25">
      <c r="D104" s="1"/>
      <c r="E104" s="1"/>
    </row>
    <row r="105" spans="4:5" s="3" customFormat="1" x14ac:dyDescent="0.25">
      <c r="D105" s="1"/>
      <c r="E105" s="1"/>
    </row>
    <row r="106" spans="4:5" s="3" customFormat="1" x14ac:dyDescent="0.25">
      <c r="D106" s="1"/>
      <c r="E106" s="1"/>
    </row>
    <row r="107" spans="4:5" s="3" customFormat="1" x14ac:dyDescent="0.25">
      <c r="D107" s="1"/>
      <c r="E107" s="1"/>
    </row>
    <row r="108" spans="4:5" s="3" customFormat="1" x14ac:dyDescent="0.25">
      <c r="D108" s="1"/>
      <c r="E108" s="1"/>
    </row>
    <row r="109" spans="4:5" s="3" customFormat="1" x14ac:dyDescent="0.25">
      <c r="D109" s="1"/>
      <c r="E109" s="1"/>
    </row>
    <row r="110" spans="4:5" s="3" customFormat="1" x14ac:dyDescent="0.25">
      <c r="D110" s="1"/>
      <c r="E110" s="1"/>
    </row>
    <row r="111" spans="4:5" s="3" customFormat="1" x14ac:dyDescent="0.25">
      <c r="D111" s="1"/>
      <c r="E111" s="1"/>
    </row>
    <row r="112" spans="4:5" s="3" customFormat="1" x14ac:dyDescent="0.25">
      <c r="D112" s="1"/>
      <c r="E112" s="1"/>
    </row>
    <row r="113" spans="4:5" s="3" customFormat="1" x14ac:dyDescent="0.25">
      <c r="D113" s="1"/>
      <c r="E113" s="1"/>
    </row>
    <row r="114" spans="4:5" s="3" customFormat="1" x14ac:dyDescent="0.25">
      <c r="D114" s="1"/>
      <c r="E114" s="1"/>
    </row>
    <row r="115" spans="4:5" s="3" customFormat="1" x14ac:dyDescent="0.25">
      <c r="D115" s="1"/>
      <c r="E115" s="1"/>
    </row>
    <row r="116" spans="4:5" s="3" customFormat="1" x14ac:dyDescent="0.25">
      <c r="D116" s="1"/>
      <c r="E116" s="1"/>
    </row>
    <row r="117" spans="4:5" s="3" customFormat="1" x14ac:dyDescent="0.25">
      <c r="D117" s="1"/>
      <c r="E117" s="1"/>
    </row>
    <row r="118" spans="4:5" s="3" customFormat="1" x14ac:dyDescent="0.25">
      <c r="D118" s="1"/>
      <c r="E118" s="1"/>
    </row>
    <row r="119" spans="4:5" s="3" customFormat="1" x14ac:dyDescent="0.25">
      <c r="D119" s="1"/>
      <c r="E119" s="1"/>
    </row>
    <row r="120" spans="4:5" s="3" customFormat="1" x14ac:dyDescent="0.25">
      <c r="D120" s="1"/>
      <c r="E120" s="1"/>
    </row>
    <row r="121" spans="4:5" s="3" customFormat="1" x14ac:dyDescent="0.25">
      <c r="D121" s="1"/>
      <c r="E121" s="1"/>
    </row>
    <row r="122" spans="4:5" s="3" customFormat="1" x14ac:dyDescent="0.25">
      <c r="D122" s="1"/>
      <c r="E122" s="1"/>
    </row>
    <row r="123" spans="4:5" s="3" customFormat="1" x14ac:dyDescent="0.25">
      <c r="D123" s="1"/>
      <c r="E123" s="1"/>
    </row>
    <row r="124" spans="4:5" s="3" customFormat="1" x14ac:dyDescent="0.25">
      <c r="D124" s="1"/>
      <c r="E124" s="1"/>
    </row>
    <row r="125" spans="4:5" s="3" customFormat="1" x14ac:dyDescent="0.25">
      <c r="D125" s="1"/>
      <c r="E125" s="1"/>
    </row>
    <row r="126" spans="4:5" s="3" customFormat="1" x14ac:dyDescent="0.25">
      <c r="D126" s="1"/>
      <c r="E126" s="1"/>
    </row>
    <row r="127" spans="4:5" s="3" customFormat="1" x14ac:dyDescent="0.25">
      <c r="D127" s="1"/>
      <c r="E127" s="1"/>
    </row>
    <row r="128" spans="4:5" s="3" customFormat="1" x14ac:dyDescent="0.25">
      <c r="D128" s="1"/>
      <c r="E128" s="1"/>
    </row>
    <row r="129" spans="4:5" s="3" customFormat="1" x14ac:dyDescent="0.25">
      <c r="D129" s="1"/>
      <c r="E129" s="1"/>
    </row>
    <row r="130" spans="4:5" s="3" customFormat="1" x14ac:dyDescent="0.25">
      <c r="D130" s="1"/>
      <c r="E130" s="1"/>
    </row>
    <row r="131" spans="4:5" s="3" customFormat="1" x14ac:dyDescent="0.25">
      <c r="D131" s="1"/>
      <c r="E131" s="1"/>
    </row>
    <row r="132" spans="4:5" s="3" customFormat="1" x14ac:dyDescent="0.25">
      <c r="D132" s="1"/>
      <c r="E132" s="1"/>
    </row>
    <row r="133" spans="4:5" s="3" customFormat="1" x14ac:dyDescent="0.25">
      <c r="D133" s="1"/>
      <c r="E133" s="1"/>
    </row>
    <row r="134" spans="4:5" s="3" customFormat="1" x14ac:dyDescent="0.25">
      <c r="D134" s="1"/>
      <c r="E134" s="1"/>
    </row>
    <row r="135" spans="4:5" s="3" customFormat="1" x14ac:dyDescent="0.25">
      <c r="D135" s="1"/>
      <c r="E135" s="1"/>
    </row>
    <row r="136" spans="4:5" s="3" customFormat="1" x14ac:dyDescent="0.25">
      <c r="D136" s="1"/>
      <c r="E136" s="1"/>
    </row>
    <row r="137" spans="4:5" s="3" customFormat="1" x14ac:dyDescent="0.25">
      <c r="D137" s="1"/>
      <c r="E137" s="1"/>
    </row>
    <row r="138" spans="4:5" s="3" customFormat="1" x14ac:dyDescent="0.25">
      <c r="D138" s="1"/>
      <c r="E138" s="1"/>
    </row>
    <row r="139" spans="4:5" s="3" customFormat="1" x14ac:dyDescent="0.25">
      <c r="D139" s="1"/>
      <c r="E139" s="1"/>
    </row>
    <row r="140" spans="4:5" s="3" customFormat="1" x14ac:dyDescent="0.25">
      <c r="D140" s="1"/>
      <c r="E140" s="1"/>
    </row>
    <row r="141" spans="4:5" s="3" customFormat="1" x14ac:dyDescent="0.25">
      <c r="D141" s="1"/>
      <c r="E141" s="1"/>
    </row>
    <row r="142" spans="4:5" s="3" customFormat="1" x14ac:dyDescent="0.25">
      <c r="D142" s="1"/>
      <c r="E142" s="1"/>
    </row>
    <row r="143" spans="4:5" s="3" customFormat="1" x14ac:dyDescent="0.25">
      <c r="D143" s="1"/>
      <c r="E143" s="1"/>
    </row>
    <row r="144" spans="4:5" s="3" customFormat="1" x14ac:dyDescent="0.25">
      <c r="D144" s="1"/>
      <c r="E144" s="1"/>
    </row>
    <row r="145" spans="4:5" s="3" customFormat="1" x14ac:dyDescent="0.25">
      <c r="D145" s="1"/>
      <c r="E145" s="1"/>
    </row>
    <row r="146" spans="4:5" s="3" customFormat="1" x14ac:dyDescent="0.25">
      <c r="D146" s="1"/>
      <c r="E146" s="1"/>
    </row>
    <row r="147" spans="4:5" s="3" customFormat="1" x14ac:dyDescent="0.25">
      <c r="D147" s="1"/>
      <c r="E147" s="1"/>
    </row>
    <row r="148" spans="4:5" s="3" customFormat="1" x14ac:dyDescent="0.25">
      <c r="D148" s="1"/>
      <c r="E148" s="1"/>
    </row>
    <row r="149" spans="4:5" s="3" customFormat="1" x14ac:dyDescent="0.25">
      <c r="D149" s="1"/>
      <c r="E149" s="1"/>
    </row>
    <row r="150" spans="4:5" s="3" customFormat="1" x14ac:dyDescent="0.25">
      <c r="D150" s="1"/>
      <c r="E150" s="1"/>
    </row>
    <row r="151" spans="4:5" s="3" customFormat="1" x14ac:dyDescent="0.25">
      <c r="D151" s="1"/>
      <c r="E151" s="1"/>
    </row>
    <row r="152" spans="4:5" s="3" customFormat="1" x14ac:dyDescent="0.25">
      <c r="D152" s="1"/>
      <c r="E152" s="1"/>
    </row>
    <row r="153" spans="4:5" s="3" customFormat="1" x14ac:dyDescent="0.25">
      <c r="D153" s="1"/>
      <c r="E153" s="1"/>
    </row>
    <row r="154" spans="4:5" s="3" customFormat="1" x14ac:dyDescent="0.25">
      <c r="D154" s="1"/>
      <c r="E154" s="1"/>
    </row>
    <row r="155" spans="4:5" s="3" customFormat="1" x14ac:dyDescent="0.25">
      <c r="D155" s="1"/>
      <c r="E155" s="1"/>
    </row>
    <row r="156" spans="4:5" s="3" customFormat="1" x14ac:dyDescent="0.25">
      <c r="D156" s="1"/>
      <c r="E156" s="1"/>
    </row>
    <row r="157" spans="4:5" s="3" customFormat="1" x14ac:dyDescent="0.25">
      <c r="D157" s="1"/>
      <c r="E157" s="1"/>
    </row>
    <row r="158" spans="4:5" s="3" customFormat="1" x14ac:dyDescent="0.25">
      <c r="D158" s="1"/>
      <c r="E158" s="1"/>
    </row>
    <row r="159" spans="4:5" s="3" customFormat="1" x14ac:dyDescent="0.25">
      <c r="D159" s="1"/>
      <c r="E159" s="1"/>
    </row>
    <row r="160" spans="4:5" s="3" customFormat="1" x14ac:dyDescent="0.25">
      <c r="D160" s="1"/>
      <c r="E160" s="1"/>
    </row>
    <row r="161" spans="4:5" s="3" customFormat="1" x14ac:dyDescent="0.25">
      <c r="D161" s="1"/>
      <c r="E161" s="1"/>
    </row>
    <row r="162" spans="4:5" s="3" customFormat="1" x14ac:dyDescent="0.25">
      <c r="D162" s="1"/>
      <c r="E162" s="1"/>
    </row>
    <row r="163" spans="4:5" s="3" customFormat="1" x14ac:dyDescent="0.25">
      <c r="D163" s="1"/>
      <c r="E163" s="1"/>
    </row>
    <row r="164" spans="4:5" s="3" customFormat="1" x14ac:dyDescent="0.25">
      <c r="D164" s="1"/>
      <c r="E164" s="1"/>
    </row>
    <row r="165" spans="4:5" s="3" customFormat="1" x14ac:dyDescent="0.25">
      <c r="D165" s="1"/>
      <c r="E165" s="1"/>
    </row>
    <row r="166" spans="4:5" s="3" customFormat="1" x14ac:dyDescent="0.25">
      <c r="D166" s="1"/>
      <c r="E166" s="1"/>
    </row>
    <row r="167" spans="4:5" s="3" customFormat="1" x14ac:dyDescent="0.25">
      <c r="D167" s="1"/>
      <c r="E167" s="1"/>
    </row>
    <row r="168" spans="4:5" s="3" customFormat="1" x14ac:dyDescent="0.25">
      <c r="D168" s="1"/>
      <c r="E168" s="1"/>
    </row>
    <row r="169" spans="4:5" s="3" customFormat="1" x14ac:dyDescent="0.25">
      <c r="D169" s="1"/>
      <c r="E169" s="1"/>
    </row>
    <row r="170" spans="4:5" s="3" customFormat="1" x14ac:dyDescent="0.25">
      <c r="D170" s="1"/>
      <c r="E170" s="1"/>
    </row>
    <row r="171" spans="4:5" s="3" customFormat="1" x14ac:dyDescent="0.25">
      <c r="D171" s="1"/>
      <c r="E171" s="1"/>
    </row>
    <row r="172" spans="4:5" s="3" customFormat="1" x14ac:dyDescent="0.25">
      <c r="D172" s="1"/>
      <c r="E172" s="1"/>
    </row>
    <row r="173" spans="4:5" s="3" customFormat="1" x14ac:dyDescent="0.25">
      <c r="D173" s="1"/>
      <c r="E173" s="1"/>
    </row>
    <row r="174" spans="4:5" s="3" customFormat="1" x14ac:dyDescent="0.25">
      <c r="D174" s="1"/>
      <c r="E174" s="1"/>
    </row>
    <row r="175" spans="4:5" s="3" customFormat="1" x14ac:dyDescent="0.25">
      <c r="D175" s="1"/>
      <c r="E175" s="1"/>
    </row>
    <row r="176" spans="4:5" s="3" customFormat="1" x14ac:dyDescent="0.25">
      <c r="D176" s="1"/>
      <c r="E176" s="1"/>
    </row>
    <row r="177" spans="4:5" s="3" customFormat="1" x14ac:dyDescent="0.25">
      <c r="D177" s="1"/>
      <c r="E177" s="1"/>
    </row>
    <row r="178" spans="4:5" s="3" customFormat="1" x14ac:dyDescent="0.25">
      <c r="D178" s="1"/>
      <c r="E178" s="1"/>
    </row>
    <row r="179" spans="4:5" s="3" customFormat="1" x14ac:dyDescent="0.25">
      <c r="D179" s="1"/>
      <c r="E179" s="1"/>
    </row>
    <row r="180" spans="4:5" s="3" customFormat="1" x14ac:dyDescent="0.25">
      <c r="D180" s="1"/>
      <c r="E180" s="1"/>
    </row>
    <row r="181" spans="4:5" s="3" customFormat="1" x14ac:dyDescent="0.25">
      <c r="D181" s="1"/>
      <c r="E181" s="1"/>
    </row>
    <row r="182" spans="4:5" s="3" customFormat="1" x14ac:dyDescent="0.25">
      <c r="D182" s="1"/>
      <c r="E182" s="1"/>
    </row>
    <row r="183" spans="4:5" s="3" customFormat="1" x14ac:dyDescent="0.25">
      <c r="D183" s="1"/>
      <c r="E183" s="1"/>
    </row>
    <row r="184" spans="4:5" s="3" customFormat="1" x14ac:dyDescent="0.25">
      <c r="D184" s="1"/>
      <c r="E184" s="1"/>
    </row>
    <row r="185" spans="4:5" s="3" customFormat="1" x14ac:dyDescent="0.25">
      <c r="D185" s="1"/>
      <c r="E185" s="1"/>
    </row>
    <row r="186" spans="4:5" s="3" customFormat="1" x14ac:dyDescent="0.25">
      <c r="D186" s="1"/>
      <c r="E186" s="1"/>
    </row>
    <row r="187" spans="4:5" s="3" customFormat="1" x14ac:dyDescent="0.25">
      <c r="D187" s="1"/>
      <c r="E187" s="1"/>
    </row>
    <row r="188" spans="4:5" s="3" customFormat="1" x14ac:dyDescent="0.25">
      <c r="D188" s="1"/>
      <c r="E188" s="1"/>
    </row>
    <row r="189" spans="4:5" s="3" customFormat="1" x14ac:dyDescent="0.25">
      <c r="D189" s="1"/>
      <c r="E189" s="1"/>
    </row>
    <row r="190" spans="4:5" s="3" customFormat="1" x14ac:dyDescent="0.25">
      <c r="D190" s="1"/>
      <c r="E190" s="1"/>
    </row>
    <row r="191" spans="4:5" s="3" customFormat="1" x14ac:dyDescent="0.25">
      <c r="D191" s="1"/>
      <c r="E191" s="1"/>
    </row>
    <row r="192" spans="4:5" s="3" customFormat="1" x14ac:dyDescent="0.25">
      <c r="D192" s="1"/>
      <c r="E192" s="1"/>
    </row>
    <row r="193" spans="4:5" s="3" customFormat="1" x14ac:dyDescent="0.25">
      <c r="D193" s="1"/>
      <c r="E193" s="1"/>
    </row>
    <row r="194" spans="4:5" s="3" customFormat="1" x14ac:dyDescent="0.25">
      <c r="D194" s="1"/>
      <c r="E194" s="1"/>
    </row>
    <row r="195" spans="4:5" s="3" customFormat="1" x14ac:dyDescent="0.25">
      <c r="D195" s="1"/>
      <c r="E195" s="1"/>
    </row>
    <row r="196" spans="4:5" s="3" customFormat="1" x14ac:dyDescent="0.25">
      <c r="D196" s="1"/>
      <c r="E196" s="1"/>
    </row>
    <row r="197" spans="4:5" s="3" customFormat="1" x14ac:dyDescent="0.25">
      <c r="D197" s="1"/>
      <c r="E197" s="1"/>
    </row>
    <row r="198" spans="4:5" s="3" customFormat="1" x14ac:dyDescent="0.25">
      <c r="D198" s="1"/>
      <c r="E198" s="1"/>
    </row>
    <row r="199" spans="4:5" s="3" customFormat="1" x14ac:dyDescent="0.25">
      <c r="D199" s="1"/>
      <c r="E199" s="1"/>
    </row>
    <row r="200" spans="4:5" s="3" customFormat="1" x14ac:dyDescent="0.25">
      <c r="D200" s="1"/>
      <c r="E200" s="1"/>
    </row>
    <row r="201" spans="4:5" s="3" customFormat="1" x14ac:dyDescent="0.25">
      <c r="D201" s="1"/>
      <c r="E201" s="1"/>
    </row>
    <row r="202" spans="4:5" s="3" customFormat="1" x14ac:dyDescent="0.25">
      <c r="D202" s="1"/>
      <c r="E202" s="1"/>
    </row>
    <row r="203" spans="4:5" s="3" customFormat="1" x14ac:dyDescent="0.25">
      <c r="D203" s="1"/>
      <c r="E203" s="1"/>
    </row>
    <row r="204" spans="4:5" s="3" customFormat="1" x14ac:dyDescent="0.25">
      <c r="D204" s="1"/>
      <c r="E204" s="1"/>
    </row>
    <row r="205" spans="4:5" s="3" customFormat="1" x14ac:dyDescent="0.25">
      <c r="D205" s="1"/>
      <c r="E205" s="1"/>
    </row>
    <row r="206" spans="4:5" s="3" customFormat="1" x14ac:dyDescent="0.25">
      <c r="D206" s="1"/>
      <c r="E206" s="1"/>
    </row>
    <row r="207" spans="4:5" s="3" customFormat="1" x14ac:dyDescent="0.25">
      <c r="D207" s="1"/>
      <c r="E207" s="1"/>
    </row>
    <row r="208" spans="4:5" s="3" customFormat="1" x14ac:dyDescent="0.25">
      <c r="D208" s="1"/>
      <c r="E208" s="1"/>
    </row>
    <row r="209" spans="4:5" s="3" customFormat="1" x14ac:dyDescent="0.25">
      <c r="D209" s="1"/>
      <c r="E209" s="1"/>
    </row>
    <row r="210" spans="4:5" s="3" customFormat="1" x14ac:dyDescent="0.25">
      <c r="D210" s="1"/>
      <c r="E210" s="1"/>
    </row>
    <row r="211" spans="4:5" s="3" customFormat="1" x14ac:dyDescent="0.25">
      <c r="D211" s="1"/>
      <c r="E211" s="1"/>
    </row>
    <row r="212" spans="4:5" s="3" customFormat="1" x14ac:dyDescent="0.25">
      <c r="D212" s="1"/>
      <c r="E212" s="1"/>
    </row>
    <row r="213" spans="4:5" s="3" customFormat="1" x14ac:dyDescent="0.25">
      <c r="D213" s="1"/>
      <c r="E213" s="1"/>
    </row>
    <row r="214" spans="4:5" s="3" customFormat="1" x14ac:dyDescent="0.25">
      <c r="D214" s="1"/>
      <c r="E214" s="1"/>
    </row>
    <row r="215" spans="4:5" s="3" customFormat="1" x14ac:dyDescent="0.25">
      <c r="D215" s="1"/>
      <c r="E215" s="1"/>
    </row>
    <row r="216" spans="4:5" s="3" customFormat="1" x14ac:dyDescent="0.25">
      <c r="D216" s="1"/>
      <c r="E216" s="1"/>
    </row>
    <row r="217" spans="4:5" s="3" customFormat="1" x14ac:dyDescent="0.25">
      <c r="D217" s="1"/>
      <c r="E217" s="1"/>
    </row>
    <row r="218" spans="4:5" s="3" customFormat="1" x14ac:dyDescent="0.25">
      <c r="D218" s="1"/>
      <c r="E218" s="1"/>
    </row>
    <row r="219" spans="4:5" s="3" customFormat="1" x14ac:dyDescent="0.25">
      <c r="D219" s="1"/>
      <c r="E219" s="1"/>
    </row>
    <row r="220" spans="4:5" s="3" customFormat="1" x14ac:dyDescent="0.25">
      <c r="D220" s="1"/>
      <c r="E220" s="1"/>
    </row>
    <row r="221" spans="4:5" s="3" customFormat="1" x14ac:dyDescent="0.25">
      <c r="D221" s="1"/>
      <c r="E221" s="1"/>
    </row>
    <row r="222" spans="4:5" s="3" customFormat="1" x14ac:dyDescent="0.25">
      <c r="D222" s="1"/>
      <c r="E222" s="1"/>
    </row>
    <row r="223" spans="4:5" s="3" customFormat="1" x14ac:dyDescent="0.25">
      <c r="D223" s="1"/>
      <c r="E223" s="1"/>
    </row>
    <row r="224" spans="4:5" s="3" customFormat="1" x14ac:dyDescent="0.25">
      <c r="D224" s="1"/>
      <c r="E224" s="1"/>
    </row>
    <row r="225" spans="4:5" s="3" customFormat="1" x14ac:dyDescent="0.25">
      <c r="D225" s="1"/>
      <c r="E225" s="1"/>
    </row>
    <row r="226" spans="4:5" s="3" customFormat="1" x14ac:dyDescent="0.25">
      <c r="D226" s="1"/>
      <c r="E226" s="1"/>
    </row>
    <row r="227" spans="4:5" s="3" customFormat="1" x14ac:dyDescent="0.25">
      <c r="D227" s="1"/>
      <c r="E227" s="1"/>
    </row>
    <row r="228" spans="4:5" s="3" customFormat="1" x14ac:dyDescent="0.25">
      <c r="D228" s="1"/>
      <c r="E228" s="1"/>
    </row>
    <row r="229" spans="4:5" s="3" customFormat="1" x14ac:dyDescent="0.25">
      <c r="D229" s="1"/>
      <c r="E229" s="1"/>
    </row>
    <row r="230" spans="4:5" s="3" customFormat="1" x14ac:dyDescent="0.25">
      <c r="D230" s="1"/>
      <c r="E230" s="1"/>
    </row>
    <row r="231" spans="4:5" s="3" customFormat="1" x14ac:dyDescent="0.25">
      <c r="D231" s="1"/>
      <c r="E231" s="1"/>
    </row>
    <row r="232" spans="4:5" s="3" customFormat="1" x14ac:dyDescent="0.25">
      <c r="D232" s="1"/>
      <c r="E232" s="1"/>
    </row>
    <row r="233" spans="4:5" s="3" customFormat="1" x14ac:dyDescent="0.25">
      <c r="D233" s="1"/>
      <c r="E233" s="1"/>
    </row>
    <row r="234" spans="4:5" s="3" customFormat="1" x14ac:dyDescent="0.25">
      <c r="D234" s="1"/>
      <c r="E234" s="1"/>
    </row>
    <row r="235" spans="4:5" s="3" customFormat="1" x14ac:dyDescent="0.25">
      <c r="D235" s="1"/>
      <c r="E235" s="1"/>
    </row>
    <row r="236" spans="4:5" s="3" customFormat="1" x14ac:dyDescent="0.25">
      <c r="D236" s="1"/>
      <c r="E236" s="1"/>
    </row>
    <row r="237" spans="4:5" s="3" customFormat="1" x14ac:dyDescent="0.25">
      <c r="D237" s="1"/>
      <c r="E237" s="1"/>
    </row>
    <row r="238" spans="4:5" s="3" customFormat="1" x14ac:dyDescent="0.25">
      <c r="D238" s="1"/>
      <c r="E238" s="1"/>
    </row>
    <row r="239" spans="4:5" s="3" customFormat="1" x14ac:dyDescent="0.25">
      <c r="D239" s="1"/>
      <c r="E239" s="1"/>
    </row>
    <row r="240" spans="4:5" s="3" customFormat="1" x14ac:dyDescent="0.25">
      <c r="D240" s="1"/>
      <c r="E240" s="1"/>
    </row>
    <row r="241" spans="4:5" s="3" customFormat="1" x14ac:dyDescent="0.25">
      <c r="D241" s="1"/>
      <c r="E241" s="1"/>
    </row>
    <row r="242" spans="4:5" s="3" customFormat="1" x14ac:dyDescent="0.25">
      <c r="D242" s="1"/>
      <c r="E242" s="1"/>
    </row>
    <row r="243" spans="4:5" s="3" customFormat="1" x14ac:dyDescent="0.25">
      <c r="D243" s="1"/>
      <c r="E243" s="1"/>
    </row>
    <row r="244" spans="4:5" s="3" customFormat="1" x14ac:dyDescent="0.25">
      <c r="D244" s="1"/>
      <c r="E244" s="1"/>
    </row>
    <row r="245" spans="4:5" s="3" customFormat="1" x14ac:dyDescent="0.25">
      <c r="D245" s="1"/>
      <c r="E245" s="1"/>
    </row>
    <row r="246" spans="4:5" s="3" customFormat="1" x14ac:dyDescent="0.25">
      <c r="D246" s="1"/>
      <c r="E246" s="1"/>
    </row>
    <row r="247" spans="4:5" s="3" customFormat="1" x14ac:dyDescent="0.25">
      <c r="D247" s="1"/>
      <c r="E247" s="1"/>
    </row>
    <row r="248" spans="4:5" s="3" customFormat="1" x14ac:dyDescent="0.25">
      <c r="D248" s="1"/>
      <c r="E248" s="1"/>
    </row>
    <row r="249" spans="4:5" s="3" customFormat="1" x14ac:dyDescent="0.25">
      <c r="D249" s="1"/>
      <c r="E249" s="1"/>
    </row>
    <row r="250" spans="4:5" s="3" customFormat="1" x14ac:dyDescent="0.25">
      <c r="D250" s="1"/>
      <c r="E250" s="1"/>
    </row>
    <row r="251" spans="4:5" s="3" customFormat="1" x14ac:dyDescent="0.25">
      <c r="D251" s="1"/>
      <c r="E251" s="1"/>
    </row>
    <row r="252" spans="4:5" s="3" customFormat="1" x14ac:dyDescent="0.25">
      <c r="D252" s="1"/>
      <c r="E252" s="1"/>
    </row>
    <row r="253" spans="4:5" s="3" customFormat="1" x14ac:dyDescent="0.25">
      <c r="D253" s="1"/>
      <c r="E253" s="1"/>
    </row>
    <row r="254" spans="4:5" s="3" customFormat="1" x14ac:dyDescent="0.25">
      <c r="D254" s="1"/>
      <c r="E254" s="1"/>
    </row>
    <row r="255" spans="4:5" s="3" customFormat="1" x14ac:dyDescent="0.25">
      <c r="D255" s="1"/>
      <c r="E255" s="1"/>
    </row>
    <row r="256" spans="4:5" s="3" customFormat="1" x14ac:dyDescent="0.25">
      <c r="D256" s="1"/>
      <c r="E256" s="1"/>
    </row>
    <row r="257" spans="4:5" s="3" customFormat="1" x14ac:dyDescent="0.25">
      <c r="D257" s="1"/>
      <c r="E257" s="1"/>
    </row>
    <row r="258" spans="4:5" s="3" customFormat="1" x14ac:dyDescent="0.25">
      <c r="D258" s="1"/>
      <c r="E258" s="1"/>
    </row>
    <row r="259" spans="4:5" s="3" customFormat="1" x14ac:dyDescent="0.25">
      <c r="D259" s="1"/>
      <c r="E259" s="1"/>
    </row>
    <row r="260" spans="4:5" s="3" customFormat="1" x14ac:dyDescent="0.25">
      <c r="D260" s="1"/>
      <c r="E260" s="1"/>
    </row>
    <row r="261" spans="4:5" s="3" customFormat="1" x14ac:dyDescent="0.25">
      <c r="D261" s="1"/>
      <c r="E261" s="1"/>
    </row>
    <row r="262" spans="4:5" s="3" customFormat="1" x14ac:dyDescent="0.25">
      <c r="D262" s="1"/>
      <c r="E262" s="1"/>
    </row>
    <row r="263" spans="4:5" s="3" customFormat="1" x14ac:dyDescent="0.25">
      <c r="D263" s="1"/>
      <c r="E263" s="1"/>
    </row>
    <row r="264" spans="4:5" s="3" customFormat="1" x14ac:dyDescent="0.25">
      <c r="D264" s="1"/>
      <c r="E264" s="1"/>
    </row>
    <row r="265" spans="4:5" s="3" customFormat="1" x14ac:dyDescent="0.25">
      <c r="D265" s="1"/>
      <c r="E265" s="1"/>
    </row>
    <row r="266" spans="4:5" s="3" customFormat="1" x14ac:dyDescent="0.25">
      <c r="D266" s="1"/>
      <c r="E266" s="1"/>
    </row>
    <row r="267" spans="4:5" s="3" customFormat="1" x14ac:dyDescent="0.25">
      <c r="D267" s="1"/>
      <c r="E267" s="1"/>
    </row>
    <row r="268" spans="4:5" s="3" customFormat="1" x14ac:dyDescent="0.25">
      <c r="D268" s="1"/>
      <c r="E268" s="1"/>
    </row>
    <row r="269" spans="4:5" s="3" customFormat="1" x14ac:dyDescent="0.25">
      <c r="D269" s="1"/>
      <c r="E269" s="1"/>
    </row>
    <row r="270" spans="4:5" s="3" customFormat="1" x14ac:dyDescent="0.25">
      <c r="D270" s="1"/>
      <c r="E270" s="1"/>
    </row>
    <row r="271" spans="4:5" s="3" customFormat="1" x14ac:dyDescent="0.25">
      <c r="D271" s="1"/>
      <c r="E271" s="1"/>
    </row>
    <row r="272" spans="4:5" s="3" customFormat="1" x14ac:dyDescent="0.25">
      <c r="D272" s="1"/>
      <c r="E272" s="1"/>
    </row>
    <row r="273" spans="4:5" s="3" customFormat="1" x14ac:dyDescent="0.25">
      <c r="D273" s="1"/>
      <c r="E273" s="1"/>
    </row>
    <row r="274" spans="4:5" s="3" customFormat="1" x14ac:dyDescent="0.25">
      <c r="D274" s="1"/>
      <c r="E274" s="1"/>
    </row>
    <row r="275" spans="4:5" s="3" customFormat="1" x14ac:dyDescent="0.25">
      <c r="D275" s="1"/>
      <c r="E275" s="1"/>
    </row>
    <row r="276" spans="4:5" s="3" customFormat="1" x14ac:dyDescent="0.25">
      <c r="D276" s="1"/>
      <c r="E276" s="1"/>
    </row>
    <row r="277" spans="4:5" s="3" customFormat="1" x14ac:dyDescent="0.25">
      <c r="D277" s="1"/>
      <c r="E277" s="1"/>
    </row>
    <row r="278" spans="4:5" s="3" customFormat="1" x14ac:dyDescent="0.25">
      <c r="D278" s="1"/>
      <c r="E278" s="1"/>
    </row>
    <row r="279" spans="4:5" s="3" customFormat="1" x14ac:dyDescent="0.25">
      <c r="D279" s="1"/>
      <c r="E279" s="1"/>
    </row>
    <row r="280" spans="4:5" s="3" customFormat="1" x14ac:dyDescent="0.25">
      <c r="D280" s="1"/>
      <c r="E280" s="1"/>
    </row>
    <row r="281" spans="4:5" s="3" customFormat="1" x14ac:dyDescent="0.25">
      <c r="D281" s="1"/>
      <c r="E281" s="1"/>
    </row>
    <row r="282" spans="4:5" s="3" customFormat="1" x14ac:dyDescent="0.25">
      <c r="D282" s="1"/>
      <c r="E282" s="1"/>
    </row>
    <row r="283" spans="4:5" s="3" customFormat="1" x14ac:dyDescent="0.25">
      <c r="D283" s="1"/>
      <c r="E283" s="1"/>
    </row>
    <row r="284" spans="4:5" s="3" customFormat="1" x14ac:dyDescent="0.25">
      <c r="D284" s="1"/>
      <c r="E284" s="1"/>
    </row>
    <row r="285" spans="4:5" s="3" customFormat="1" x14ac:dyDescent="0.25">
      <c r="D285" s="1"/>
      <c r="E285" s="1"/>
    </row>
    <row r="286" spans="4:5" s="3" customFormat="1" x14ac:dyDescent="0.25">
      <c r="D286" s="1"/>
      <c r="E286" s="1"/>
    </row>
    <row r="287" spans="4:5" s="3" customFormat="1" x14ac:dyDescent="0.25">
      <c r="D287" s="1"/>
      <c r="E287" s="1"/>
    </row>
    <row r="288" spans="4:5" s="3" customFormat="1" x14ac:dyDescent="0.25">
      <c r="D288" s="1"/>
      <c r="E288" s="1"/>
    </row>
    <row r="289" spans="4:5" s="3" customFormat="1" x14ac:dyDescent="0.25">
      <c r="D289" s="1"/>
      <c r="E289" s="1"/>
    </row>
    <row r="290" spans="4:5" s="3" customFormat="1" x14ac:dyDescent="0.25">
      <c r="D290" s="1"/>
      <c r="E290" s="1"/>
    </row>
    <row r="291" spans="4:5" s="3" customFormat="1" x14ac:dyDescent="0.25">
      <c r="D291" s="1"/>
      <c r="E291" s="1"/>
    </row>
    <row r="292" spans="4:5" s="3" customFormat="1" x14ac:dyDescent="0.25">
      <c r="D292" s="1"/>
      <c r="E292" s="1"/>
    </row>
    <row r="293" spans="4:5" s="3" customFormat="1" x14ac:dyDescent="0.25">
      <c r="D293" s="1"/>
      <c r="E293" s="1"/>
    </row>
    <row r="294" spans="4:5" s="3" customFormat="1" x14ac:dyDescent="0.25">
      <c r="D294" s="1"/>
      <c r="E294" s="1"/>
    </row>
    <row r="295" spans="4:5" s="3" customFormat="1" x14ac:dyDescent="0.25">
      <c r="D295" s="1"/>
      <c r="E295" s="1"/>
    </row>
    <row r="296" spans="4:5" s="3" customFormat="1" x14ac:dyDescent="0.25">
      <c r="D296" s="1"/>
      <c r="E296" s="1"/>
    </row>
    <row r="297" spans="4:5" s="3" customFormat="1" x14ac:dyDescent="0.25">
      <c r="D297" s="1"/>
      <c r="E297" s="1"/>
    </row>
    <row r="298" spans="4:5" s="3" customFormat="1" x14ac:dyDescent="0.25">
      <c r="D298" s="1"/>
      <c r="E298" s="1"/>
    </row>
    <row r="299" spans="4:5" s="3" customFormat="1" x14ac:dyDescent="0.25">
      <c r="D299" s="1"/>
      <c r="E299" s="1"/>
    </row>
    <row r="300" spans="4:5" s="3" customFormat="1" x14ac:dyDescent="0.25">
      <c r="D300" s="1"/>
      <c r="E300" s="1"/>
    </row>
    <row r="301" spans="4:5" s="3" customFormat="1" x14ac:dyDescent="0.25">
      <c r="D301" s="1"/>
      <c r="E301" s="1"/>
    </row>
    <row r="302" spans="4:5" s="3" customFormat="1" x14ac:dyDescent="0.25">
      <c r="D302" s="1"/>
      <c r="E302" s="1"/>
    </row>
    <row r="303" spans="4:5" s="3" customFormat="1" x14ac:dyDescent="0.25">
      <c r="D303" s="1"/>
      <c r="E303" s="1"/>
    </row>
    <row r="304" spans="4:5" s="3" customFormat="1" x14ac:dyDescent="0.25">
      <c r="D304" s="1"/>
      <c r="E304" s="1"/>
    </row>
    <row r="305" spans="4:5" s="3" customFormat="1" x14ac:dyDescent="0.25">
      <c r="D305" s="1"/>
      <c r="E305" s="1"/>
    </row>
    <row r="306" spans="4:5" s="3" customFormat="1" x14ac:dyDescent="0.25">
      <c r="D306" s="1"/>
      <c r="E306" s="1"/>
    </row>
    <row r="307" spans="4:5" s="3" customFormat="1" x14ac:dyDescent="0.25">
      <c r="D307" s="1"/>
      <c r="E307" s="1"/>
    </row>
    <row r="308" spans="4:5" s="3" customFormat="1" x14ac:dyDescent="0.25">
      <c r="D308" s="1"/>
      <c r="E308" s="1"/>
    </row>
    <row r="309" spans="4:5" s="3" customFormat="1" x14ac:dyDescent="0.25">
      <c r="D309" s="1"/>
      <c r="E309" s="1"/>
    </row>
    <row r="310" spans="4:5" s="3" customFormat="1" x14ac:dyDescent="0.25">
      <c r="D310" s="1"/>
      <c r="E310" s="1"/>
    </row>
    <row r="311" spans="4:5" s="3" customFormat="1" x14ac:dyDescent="0.25">
      <c r="D311" s="1"/>
      <c r="E311" s="1"/>
    </row>
    <row r="312" spans="4:5" s="3" customFormat="1" x14ac:dyDescent="0.25">
      <c r="D312" s="1"/>
      <c r="E312" s="1"/>
    </row>
    <row r="313" spans="4:5" s="3" customFormat="1" x14ac:dyDescent="0.25">
      <c r="D313" s="1"/>
      <c r="E313" s="1"/>
    </row>
    <row r="314" spans="4:5" s="3" customFormat="1" x14ac:dyDescent="0.25">
      <c r="D314" s="1"/>
      <c r="E314" s="1"/>
    </row>
    <row r="315" spans="4:5" s="3" customFormat="1" x14ac:dyDescent="0.25">
      <c r="D315" s="1"/>
      <c r="E315" s="1"/>
    </row>
    <row r="316" spans="4:5" s="3" customFormat="1" x14ac:dyDescent="0.25">
      <c r="D316" s="1"/>
      <c r="E316" s="1"/>
    </row>
    <row r="317" spans="4:5" s="3" customFormat="1" x14ac:dyDescent="0.25">
      <c r="D317" s="1"/>
      <c r="E317" s="1"/>
    </row>
    <row r="318" spans="4:5" s="3" customFormat="1" x14ac:dyDescent="0.25">
      <c r="D318" s="1"/>
      <c r="E318" s="1"/>
    </row>
    <row r="319" spans="4:5" s="3" customFormat="1" x14ac:dyDescent="0.25">
      <c r="D319" s="1"/>
      <c r="E319" s="1"/>
    </row>
    <row r="320" spans="4:5" s="3" customFormat="1" x14ac:dyDescent="0.25">
      <c r="D320" s="1"/>
      <c r="E320" s="1"/>
    </row>
    <row r="321" spans="4:5" s="3" customFormat="1" x14ac:dyDescent="0.25">
      <c r="D321" s="1"/>
      <c r="E321" s="1"/>
    </row>
    <row r="322" spans="4:5" s="3" customFormat="1" x14ac:dyDescent="0.25">
      <c r="D322" s="1"/>
      <c r="E322" s="1"/>
    </row>
    <row r="323" spans="4:5" s="3" customFormat="1" x14ac:dyDescent="0.25">
      <c r="D323" s="1"/>
      <c r="E323" s="1"/>
    </row>
    <row r="324" spans="4:5" s="3" customFormat="1" x14ac:dyDescent="0.25">
      <c r="D324" s="1"/>
      <c r="E324" s="1"/>
    </row>
    <row r="325" spans="4:5" s="3" customFormat="1" x14ac:dyDescent="0.25">
      <c r="D325" s="1"/>
      <c r="E325" s="1"/>
    </row>
    <row r="326" spans="4:5" s="3" customFormat="1" x14ac:dyDescent="0.25">
      <c r="D326" s="1"/>
      <c r="E326" s="1"/>
    </row>
    <row r="327" spans="4:5" s="3" customFormat="1" x14ac:dyDescent="0.25">
      <c r="D327" s="1"/>
      <c r="E327" s="1"/>
    </row>
    <row r="328" spans="4:5" s="3" customFormat="1" x14ac:dyDescent="0.25">
      <c r="D328" s="1"/>
      <c r="E328" s="1"/>
    </row>
    <row r="329" spans="4:5" s="3" customFormat="1" x14ac:dyDescent="0.25">
      <c r="D329" s="1"/>
      <c r="E329" s="1"/>
    </row>
    <row r="330" spans="4:5" s="3" customFormat="1" x14ac:dyDescent="0.25">
      <c r="D330" s="1"/>
      <c r="E330" s="1"/>
    </row>
    <row r="331" spans="4:5" s="3" customFormat="1" x14ac:dyDescent="0.25">
      <c r="D331" s="1"/>
      <c r="E331" s="1"/>
    </row>
    <row r="332" spans="4:5" s="3" customFormat="1" x14ac:dyDescent="0.25">
      <c r="D332" s="1"/>
      <c r="E332" s="1"/>
    </row>
    <row r="333" spans="4:5" s="3" customFormat="1" x14ac:dyDescent="0.25">
      <c r="D333" s="1"/>
      <c r="E333" s="1"/>
    </row>
    <row r="334" spans="4:5" s="3" customFormat="1" x14ac:dyDescent="0.25">
      <c r="D334" s="1"/>
      <c r="E334" s="1"/>
    </row>
    <row r="335" spans="4:5" s="3" customFormat="1" x14ac:dyDescent="0.25">
      <c r="D335" s="1"/>
      <c r="E335" s="1"/>
    </row>
    <row r="336" spans="4:5" s="3" customFormat="1" x14ac:dyDescent="0.25">
      <c r="D336" s="1"/>
      <c r="E336" s="1"/>
    </row>
    <row r="337" spans="4:5" s="3" customFormat="1" x14ac:dyDescent="0.25">
      <c r="D337" s="1"/>
      <c r="E337" s="1"/>
    </row>
    <row r="338" spans="4:5" s="3" customFormat="1" x14ac:dyDescent="0.25">
      <c r="D338" s="1"/>
      <c r="E338" s="1"/>
    </row>
    <row r="339" spans="4:5" s="3" customFormat="1" x14ac:dyDescent="0.25">
      <c r="D339" s="1"/>
      <c r="E339" s="1"/>
    </row>
    <row r="340" spans="4:5" s="3" customFormat="1" x14ac:dyDescent="0.25">
      <c r="D340" s="1"/>
      <c r="E340" s="1"/>
    </row>
    <row r="341" spans="4:5" s="3" customFormat="1" x14ac:dyDescent="0.25">
      <c r="D341" s="1"/>
      <c r="E341" s="1"/>
    </row>
    <row r="342" spans="4:5" s="3" customFormat="1" x14ac:dyDescent="0.25">
      <c r="D342" s="1"/>
      <c r="E342" s="1"/>
    </row>
    <row r="343" spans="4:5" s="3" customFormat="1" x14ac:dyDescent="0.25">
      <c r="D343" s="1"/>
      <c r="E343" s="1"/>
    </row>
    <row r="344" spans="4:5" s="3" customFormat="1" x14ac:dyDescent="0.25">
      <c r="D344" s="1"/>
      <c r="E344" s="1"/>
    </row>
    <row r="345" spans="4:5" s="3" customFormat="1" x14ac:dyDescent="0.25">
      <c r="D345" s="1"/>
      <c r="E345" s="1"/>
    </row>
    <row r="346" spans="4:5" s="3" customFormat="1" x14ac:dyDescent="0.25">
      <c r="D346" s="1"/>
      <c r="E346" s="1"/>
    </row>
    <row r="347" spans="4:5" s="3" customFormat="1" x14ac:dyDescent="0.25">
      <c r="D347" s="1"/>
      <c r="E347" s="1"/>
    </row>
    <row r="348" spans="4:5" s="3" customFormat="1" x14ac:dyDescent="0.25">
      <c r="D348" s="1"/>
      <c r="E348" s="1"/>
    </row>
    <row r="349" spans="4:5" s="3" customFormat="1" x14ac:dyDescent="0.25">
      <c r="D349" s="1"/>
      <c r="E349" s="1"/>
    </row>
    <row r="350" spans="4:5" s="3" customFormat="1" x14ac:dyDescent="0.25">
      <c r="D350" s="1"/>
      <c r="E350" s="1"/>
    </row>
    <row r="351" spans="4:5" s="3" customFormat="1" x14ac:dyDescent="0.25">
      <c r="D351" s="1"/>
      <c r="E351" s="1"/>
    </row>
    <row r="352" spans="4:5" s="3" customFormat="1" x14ac:dyDescent="0.25">
      <c r="D352" s="1"/>
      <c r="E352" s="1"/>
    </row>
    <row r="353" spans="4:5" s="3" customFormat="1" x14ac:dyDescent="0.25">
      <c r="D353" s="1"/>
      <c r="E353" s="1"/>
    </row>
    <row r="354" spans="4:5" s="3" customFormat="1" x14ac:dyDescent="0.25">
      <c r="D354" s="1"/>
      <c r="E354" s="1"/>
    </row>
    <row r="355" spans="4:5" s="3" customFormat="1" x14ac:dyDescent="0.25">
      <c r="D355" s="1"/>
      <c r="E355" s="1"/>
    </row>
    <row r="356" spans="4:5" s="3" customFormat="1" x14ac:dyDescent="0.25">
      <c r="D356" s="1"/>
      <c r="E356" s="1"/>
    </row>
    <row r="357" spans="4:5" s="3" customFormat="1" x14ac:dyDescent="0.25">
      <c r="D357" s="1"/>
      <c r="E357" s="1"/>
    </row>
    <row r="358" spans="4:5" s="3" customFormat="1" x14ac:dyDescent="0.25">
      <c r="D358" s="1"/>
      <c r="E358" s="1"/>
    </row>
    <row r="359" spans="4:5" s="3" customFormat="1" x14ac:dyDescent="0.25">
      <c r="D359" s="1"/>
      <c r="E359" s="1"/>
    </row>
    <row r="360" spans="4:5" s="3" customFormat="1" x14ac:dyDescent="0.25">
      <c r="D360" s="1"/>
      <c r="E360" s="1"/>
    </row>
    <row r="361" spans="4:5" s="3" customFormat="1" x14ac:dyDescent="0.25">
      <c r="D361" s="1"/>
      <c r="E361" s="1"/>
    </row>
    <row r="362" spans="4:5" s="3" customFormat="1" x14ac:dyDescent="0.25">
      <c r="D362" s="1"/>
      <c r="E362" s="1"/>
    </row>
    <row r="363" spans="4:5" s="3" customFormat="1" x14ac:dyDescent="0.25">
      <c r="D363" s="1"/>
      <c r="E363" s="1"/>
    </row>
    <row r="364" spans="4:5" s="3" customFormat="1" x14ac:dyDescent="0.25">
      <c r="D364" s="1"/>
      <c r="E364" s="1"/>
    </row>
    <row r="365" spans="4:5" s="3" customFormat="1" x14ac:dyDescent="0.25">
      <c r="D365" s="1"/>
      <c r="E365" s="1"/>
    </row>
    <row r="366" spans="4:5" s="3" customFormat="1" x14ac:dyDescent="0.25">
      <c r="D366" s="1"/>
      <c r="E366" s="1"/>
    </row>
    <row r="367" spans="4:5" s="3" customFormat="1" x14ac:dyDescent="0.25">
      <c r="D367" s="1"/>
      <c r="E367" s="1"/>
    </row>
    <row r="368" spans="4:5" s="3" customFormat="1" x14ac:dyDescent="0.25">
      <c r="D368" s="1"/>
      <c r="E368" s="1"/>
    </row>
    <row r="369" spans="4:5" s="3" customFormat="1" x14ac:dyDescent="0.25">
      <c r="D369" s="1"/>
      <c r="E369" s="1"/>
    </row>
    <row r="370" spans="4:5" s="3" customFormat="1" x14ac:dyDescent="0.25">
      <c r="D370" s="1"/>
      <c r="E370" s="1"/>
    </row>
    <row r="371" spans="4:5" s="3" customFormat="1" x14ac:dyDescent="0.25">
      <c r="D371" s="1"/>
      <c r="E371" s="1"/>
    </row>
    <row r="372" spans="4:5" s="3" customFormat="1" x14ac:dyDescent="0.25">
      <c r="D372" s="1"/>
      <c r="E372" s="1"/>
    </row>
    <row r="373" spans="4:5" s="3" customFormat="1" x14ac:dyDescent="0.25">
      <c r="D373" s="1"/>
      <c r="E373" s="1"/>
    </row>
    <row r="374" spans="4:5" s="3" customFormat="1" x14ac:dyDescent="0.25">
      <c r="D374" s="1"/>
      <c r="E374" s="1"/>
    </row>
    <row r="375" spans="4:5" s="3" customFormat="1" x14ac:dyDescent="0.25">
      <c r="D375" s="1"/>
      <c r="E375" s="1"/>
    </row>
    <row r="376" spans="4:5" s="3" customFormat="1" x14ac:dyDescent="0.25">
      <c r="D376" s="1"/>
      <c r="E376" s="1"/>
    </row>
    <row r="377" spans="4:5" s="3" customFormat="1" x14ac:dyDescent="0.25">
      <c r="D377" s="1"/>
      <c r="E377" s="1"/>
    </row>
    <row r="378" spans="4:5" s="3" customFormat="1" x14ac:dyDescent="0.25">
      <c r="D378" s="1"/>
      <c r="E378" s="1"/>
    </row>
    <row r="379" spans="4:5" s="3" customFormat="1" x14ac:dyDescent="0.25">
      <c r="D379" s="1"/>
      <c r="E379" s="1"/>
    </row>
    <row r="380" spans="4:5" s="3" customFormat="1" x14ac:dyDescent="0.25">
      <c r="D380" s="1"/>
      <c r="E380" s="1"/>
    </row>
    <row r="381" spans="4:5" s="3" customFormat="1" x14ac:dyDescent="0.25">
      <c r="D381" s="1"/>
      <c r="E381" s="1"/>
    </row>
    <row r="382" spans="4:5" s="3" customFormat="1" x14ac:dyDescent="0.25">
      <c r="D382" s="1"/>
      <c r="E382" s="1"/>
    </row>
    <row r="383" spans="4:5" s="3" customFormat="1" x14ac:dyDescent="0.25">
      <c r="D383" s="1"/>
      <c r="E383" s="1"/>
    </row>
    <row r="384" spans="4:5" s="3" customFormat="1" x14ac:dyDescent="0.25">
      <c r="D384" s="1"/>
      <c r="E384" s="1"/>
    </row>
    <row r="385" spans="4:5" s="3" customFormat="1" x14ac:dyDescent="0.25">
      <c r="D385" s="1"/>
      <c r="E385" s="1"/>
    </row>
    <row r="386" spans="4:5" s="3" customFormat="1" x14ac:dyDescent="0.25">
      <c r="D386" s="1"/>
      <c r="E386" s="1"/>
    </row>
    <row r="387" spans="4:5" s="3" customFormat="1" x14ac:dyDescent="0.25">
      <c r="D387" s="1"/>
      <c r="E387" s="1"/>
    </row>
    <row r="388" spans="4:5" s="3" customFormat="1" x14ac:dyDescent="0.25">
      <c r="D388" s="1"/>
      <c r="E388" s="1"/>
    </row>
    <row r="389" spans="4:5" s="3" customFormat="1" x14ac:dyDescent="0.25">
      <c r="D389" s="1"/>
      <c r="E389" s="1"/>
    </row>
    <row r="390" spans="4:5" s="3" customFormat="1" x14ac:dyDescent="0.25">
      <c r="D390" s="1"/>
      <c r="E390" s="1"/>
    </row>
    <row r="391" spans="4:5" s="3" customFormat="1" x14ac:dyDescent="0.25">
      <c r="D391" s="1"/>
      <c r="E391" s="1"/>
    </row>
    <row r="392" spans="4:5" s="3" customFormat="1" x14ac:dyDescent="0.25">
      <c r="D392" s="1"/>
      <c r="E392" s="1"/>
    </row>
    <row r="393" spans="4:5" s="3" customFormat="1" x14ac:dyDescent="0.25">
      <c r="D393" s="1"/>
      <c r="E393" s="1"/>
    </row>
    <row r="394" spans="4:5" s="3" customFormat="1" x14ac:dyDescent="0.25">
      <c r="D394" s="1"/>
      <c r="E394" s="1"/>
    </row>
    <row r="395" spans="4:5" s="3" customFormat="1" x14ac:dyDescent="0.25">
      <c r="D395" s="1"/>
      <c r="E395" s="1"/>
    </row>
    <row r="396" spans="4:5" s="3" customFormat="1" x14ac:dyDescent="0.25">
      <c r="D396" s="1"/>
      <c r="E396" s="1"/>
    </row>
    <row r="397" spans="4:5" s="3" customFormat="1" x14ac:dyDescent="0.25">
      <c r="D397" s="1"/>
      <c r="E397" s="1"/>
    </row>
    <row r="398" spans="4:5" s="3" customFormat="1" x14ac:dyDescent="0.25">
      <c r="D398" s="1"/>
      <c r="E398" s="1"/>
    </row>
    <row r="399" spans="4:5" s="3" customFormat="1" x14ac:dyDescent="0.25">
      <c r="D399" s="1"/>
      <c r="E399" s="1"/>
    </row>
    <row r="400" spans="4:5" s="3" customFormat="1" x14ac:dyDescent="0.25">
      <c r="D400" s="1"/>
      <c r="E400" s="1"/>
    </row>
    <row r="401" spans="4:5" s="3" customFormat="1" x14ac:dyDescent="0.25">
      <c r="D401" s="1"/>
      <c r="E401" s="1"/>
    </row>
    <row r="402" spans="4:5" s="3" customFormat="1" x14ac:dyDescent="0.25">
      <c r="D402" s="1"/>
      <c r="E402" s="1"/>
    </row>
    <row r="403" spans="4:5" s="3" customFormat="1" x14ac:dyDescent="0.25">
      <c r="D403" s="1"/>
      <c r="E403" s="1"/>
    </row>
    <row r="404" spans="4:5" s="3" customFormat="1" x14ac:dyDescent="0.25">
      <c r="D404" s="1"/>
      <c r="E404" s="1"/>
    </row>
    <row r="405" spans="4:5" s="3" customFormat="1" x14ac:dyDescent="0.25">
      <c r="D405" s="1"/>
      <c r="E405" s="1"/>
    </row>
    <row r="406" spans="4:5" s="3" customFormat="1" x14ac:dyDescent="0.25">
      <c r="D406" s="1"/>
      <c r="E406" s="1"/>
    </row>
    <row r="407" spans="4:5" s="3" customFormat="1" x14ac:dyDescent="0.25">
      <c r="D407" s="1"/>
      <c r="E407" s="1"/>
    </row>
    <row r="408" spans="4:5" s="3" customFormat="1" x14ac:dyDescent="0.25">
      <c r="D408" s="1"/>
      <c r="E408" s="1"/>
    </row>
    <row r="409" spans="4:5" s="3" customFormat="1" x14ac:dyDescent="0.25">
      <c r="D409" s="1"/>
      <c r="E409" s="1"/>
    </row>
    <row r="410" spans="4:5" s="3" customFormat="1" x14ac:dyDescent="0.25">
      <c r="D410" s="1"/>
      <c r="E410" s="1"/>
    </row>
    <row r="411" spans="4:5" s="3" customFormat="1" x14ac:dyDescent="0.25">
      <c r="D411" s="1"/>
      <c r="E411" s="1"/>
    </row>
    <row r="412" spans="4:5" s="3" customFormat="1" x14ac:dyDescent="0.25">
      <c r="D412" s="1"/>
      <c r="E412" s="1"/>
    </row>
    <row r="413" spans="4:5" s="3" customFormat="1" x14ac:dyDescent="0.25">
      <c r="D413" s="1"/>
      <c r="E413" s="1"/>
    </row>
    <row r="414" spans="4:5" s="3" customFormat="1" x14ac:dyDescent="0.25">
      <c r="D414" s="1"/>
      <c r="E414" s="1"/>
    </row>
    <row r="415" spans="4:5" s="3" customFormat="1" x14ac:dyDescent="0.25">
      <c r="D415" s="1"/>
      <c r="E415" s="1"/>
    </row>
    <row r="416" spans="4:5" s="3" customFormat="1" x14ac:dyDescent="0.25">
      <c r="D416" s="1"/>
      <c r="E416" s="1"/>
    </row>
    <row r="417" spans="4:5" s="3" customFormat="1" x14ac:dyDescent="0.25">
      <c r="D417" s="1"/>
      <c r="E417" s="1"/>
    </row>
    <row r="418" spans="4:5" s="3" customFormat="1" x14ac:dyDescent="0.25">
      <c r="D418" s="1"/>
      <c r="E418" s="1"/>
    </row>
    <row r="419" spans="4:5" s="3" customFormat="1" x14ac:dyDescent="0.25">
      <c r="D419" s="1"/>
      <c r="E419" s="1"/>
    </row>
    <row r="420" spans="4:5" s="3" customFormat="1" x14ac:dyDescent="0.25">
      <c r="D420" s="1"/>
      <c r="E420" s="1"/>
    </row>
    <row r="421" spans="4:5" s="3" customFormat="1" x14ac:dyDescent="0.25">
      <c r="D421" s="1"/>
      <c r="E421" s="1"/>
    </row>
    <row r="422" spans="4:5" s="3" customFormat="1" x14ac:dyDescent="0.25">
      <c r="D422" s="1"/>
      <c r="E422" s="1"/>
    </row>
    <row r="423" spans="4:5" s="3" customFormat="1" x14ac:dyDescent="0.25">
      <c r="D423" s="1"/>
      <c r="E423" s="1"/>
    </row>
    <row r="424" spans="4:5" s="3" customFormat="1" x14ac:dyDescent="0.25">
      <c r="D424" s="1"/>
      <c r="E424" s="1"/>
    </row>
    <row r="425" spans="4:5" s="3" customFormat="1" x14ac:dyDescent="0.25">
      <c r="D425" s="1"/>
      <c r="E425" s="1"/>
    </row>
    <row r="426" spans="4:5" s="3" customFormat="1" x14ac:dyDescent="0.25">
      <c r="D426" s="1"/>
      <c r="E426" s="1"/>
    </row>
    <row r="427" spans="4:5" s="3" customFormat="1" x14ac:dyDescent="0.25">
      <c r="D427" s="1"/>
      <c r="E427" s="1"/>
    </row>
    <row r="428" spans="4:5" s="3" customFormat="1" x14ac:dyDescent="0.25">
      <c r="D428" s="1"/>
      <c r="E428" s="1"/>
    </row>
    <row r="429" spans="4:5" s="3" customFormat="1" x14ac:dyDescent="0.25">
      <c r="D429" s="1"/>
      <c r="E429" s="1"/>
    </row>
    <row r="430" spans="4:5" s="3" customFormat="1" x14ac:dyDescent="0.25">
      <c r="D430" s="1"/>
      <c r="E430" s="1"/>
    </row>
    <row r="431" spans="4:5" s="3" customFormat="1" x14ac:dyDescent="0.25">
      <c r="D431" s="1"/>
      <c r="E431" s="1"/>
    </row>
    <row r="432" spans="4:5" s="3" customFormat="1" x14ac:dyDescent="0.25">
      <c r="D432" s="1"/>
      <c r="E432" s="1"/>
    </row>
    <row r="433" spans="4:5" s="3" customFormat="1" x14ac:dyDescent="0.25">
      <c r="D433" s="1"/>
      <c r="E433" s="1"/>
    </row>
    <row r="434" spans="4:5" s="3" customFormat="1" x14ac:dyDescent="0.25">
      <c r="D434" s="1"/>
      <c r="E434" s="1"/>
    </row>
    <row r="435" spans="4:5" s="3" customFormat="1" x14ac:dyDescent="0.25">
      <c r="D435" s="1"/>
      <c r="E435" s="1"/>
    </row>
    <row r="436" spans="4:5" s="3" customFormat="1" x14ac:dyDescent="0.25">
      <c r="D436" s="1"/>
      <c r="E436" s="1"/>
    </row>
    <row r="437" spans="4:5" s="3" customFormat="1" x14ac:dyDescent="0.25">
      <c r="D437" s="1"/>
      <c r="E437" s="1"/>
    </row>
    <row r="438" spans="4:5" s="3" customFormat="1" x14ac:dyDescent="0.25">
      <c r="D438" s="1"/>
      <c r="E438" s="1"/>
    </row>
    <row r="439" spans="4:5" s="3" customFormat="1" x14ac:dyDescent="0.25">
      <c r="D439" s="1"/>
      <c r="E439" s="1"/>
    </row>
    <row r="440" spans="4:5" s="3" customFormat="1" x14ac:dyDescent="0.25">
      <c r="D440" s="1"/>
      <c r="E440" s="1"/>
    </row>
    <row r="441" spans="4:5" s="3" customFormat="1" x14ac:dyDescent="0.25">
      <c r="D441" s="1"/>
      <c r="E441" s="1"/>
    </row>
    <row r="442" spans="4:5" s="3" customFormat="1" x14ac:dyDescent="0.25">
      <c r="D442" s="1"/>
      <c r="E442" s="1"/>
    </row>
    <row r="443" spans="4:5" s="3" customFormat="1" x14ac:dyDescent="0.25">
      <c r="D443" s="1"/>
      <c r="E443" s="1"/>
    </row>
    <row r="444" spans="4:5" s="3" customFormat="1" x14ac:dyDescent="0.25">
      <c r="D444" s="1"/>
      <c r="E444" s="1"/>
    </row>
    <row r="445" spans="4:5" s="3" customFormat="1" x14ac:dyDescent="0.25">
      <c r="D445" s="1"/>
      <c r="E445" s="1"/>
    </row>
    <row r="446" spans="4:5" s="3" customFormat="1" x14ac:dyDescent="0.25">
      <c r="D446" s="1"/>
      <c r="E446" s="1"/>
    </row>
    <row r="447" spans="4:5" s="3" customFormat="1" x14ac:dyDescent="0.25">
      <c r="D447" s="1"/>
      <c r="E447" s="1"/>
    </row>
    <row r="448" spans="4:5" s="3" customFormat="1" x14ac:dyDescent="0.25">
      <c r="D448" s="1"/>
      <c r="E448" s="1"/>
    </row>
    <row r="449" spans="4:5" s="3" customFormat="1" x14ac:dyDescent="0.25">
      <c r="D449" s="1"/>
      <c r="E449" s="1"/>
    </row>
    <row r="450" spans="4:5" s="3" customFormat="1" x14ac:dyDescent="0.25">
      <c r="D450" s="1"/>
      <c r="E450" s="1"/>
    </row>
    <row r="451" spans="4:5" s="3" customFormat="1" x14ac:dyDescent="0.25">
      <c r="D451" s="1"/>
      <c r="E451" s="1"/>
    </row>
    <row r="452" spans="4:5" s="3" customFormat="1" x14ac:dyDescent="0.25">
      <c r="D452" s="1"/>
      <c r="E452" s="1"/>
    </row>
    <row r="453" spans="4:5" s="3" customFormat="1" x14ac:dyDescent="0.25">
      <c r="D453" s="1"/>
      <c r="E453" s="1"/>
    </row>
    <row r="454" spans="4:5" s="3" customFormat="1" x14ac:dyDescent="0.25">
      <c r="D454" s="1"/>
      <c r="E454" s="1"/>
    </row>
    <row r="455" spans="4:5" s="3" customFormat="1" x14ac:dyDescent="0.25">
      <c r="D455" s="1"/>
      <c r="E455" s="1"/>
    </row>
    <row r="456" spans="4:5" s="3" customFormat="1" x14ac:dyDescent="0.25">
      <c r="D456" s="1"/>
      <c r="E456" s="1"/>
    </row>
    <row r="457" spans="4:5" s="3" customFormat="1" x14ac:dyDescent="0.25">
      <c r="D457" s="1"/>
      <c r="E457" s="1"/>
    </row>
    <row r="458" spans="4:5" s="3" customFormat="1" x14ac:dyDescent="0.25">
      <c r="D458" s="1"/>
      <c r="E458" s="1"/>
    </row>
    <row r="459" spans="4:5" s="3" customFormat="1" x14ac:dyDescent="0.25">
      <c r="D459" s="1"/>
      <c r="E459" s="1"/>
    </row>
    <row r="460" spans="4:5" s="3" customFormat="1" x14ac:dyDescent="0.25">
      <c r="D460" s="1"/>
      <c r="E460" s="1"/>
    </row>
    <row r="461" spans="4:5" s="3" customFormat="1" x14ac:dyDescent="0.25">
      <c r="D461" s="1"/>
      <c r="E461" s="1"/>
    </row>
    <row r="462" spans="4:5" s="3" customFormat="1" x14ac:dyDescent="0.25">
      <c r="D462" s="1"/>
      <c r="E462" s="1"/>
    </row>
    <row r="463" spans="4:5" s="3" customFormat="1" x14ac:dyDescent="0.25">
      <c r="D463" s="1"/>
      <c r="E463" s="1"/>
    </row>
    <row r="464" spans="4:5" s="3" customFormat="1" x14ac:dyDescent="0.25">
      <c r="D464" s="1"/>
      <c r="E464" s="1"/>
    </row>
    <row r="465" spans="4:5" s="3" customFormat="1" x14ac:dyDescent="0.25">
      <c r="D465" s="1"/>
      <c r="E465" s="1"/>
    </row>
    <row r="466" spans="4:5" s="3" customFormat="1" x14ac:dyDescent="0.25">
      <c r="D466" s="1"/>
      <c r="E466" s="1"/>
    </row>
    <row r="467" spans="4:5" s="3" customFormat="1" x14ac:dyDescent="0.25">
      <c r="D467" s="1"/>
      <c r="E467" s="1"/>
    </row>
    <row r="468" spans="4:5" s="3" customFormat="1" x14ac:dyDescent="0.25">
      <c r="D468" s="1"/>
      <c r="E468" s="1"/>
    </row>
    <row r="469" spans="4:5" s="3" customFormat="1" x14ac:dyDescent="0.25">
      <c r="D469" s="1"/>
      <c r="E469" s="1"/>
    </row>
    <row r="470" spans="4:5" s="3" customFormat="1" x14ac:dyDescent="0.25">
      <c r="D470" s="1"/>
      <c r="E470" s="1"/>
    </row>
    <row r="471" spans="4:5" s="3" customFormat="1" x14ac:dyDescent="0.25">
      <c r="D471" s="1"/>
      <c r="E471" s="1"/>
    </row>
    <row r="472" spans="4:5" s="3" customFormat="1" x14ac:dyDescent="0.25">
      <c r="D472" s="1"/>
      <c r="E472" s="1"/>
    </row>
    <row r="473" spans="4:5" s="3" customFormat="1" x14ac:dyDescent="0.25">
      <c r="D473" s="1"/>
      <c r="E473" s="1"/>
    </row>
    <row r="474" spans="4:5" s="3" customFormat="1" x14ac:dyDescent="0.25">
      <c r="D474" s="1"/>
      <c r="E474" s="1"/>
    </row>
    <row r="475" spans="4:5" s="3" customFormat="1" x14ac:dyDescent="0.25">
      <c r="D475" s="1"/>
      <c r="E475" s="1"/>
    </row>
    <row r="476" spans="4:5" s="3" customFormat="1" x14ac:dyDescent="0.25">
      <c r="D476" s="1"/>
      <c r="E476" s="1"/>
    </row>
    <row r="477" spans="4:5" s="3" customFormat="1" x14ac:dyDescent="0.25">
      <c r="D477" s="1"/>
      <c r="E477" s="1"/>
    </row>
    <row r="478" spans="4:5" s="3" customFormat="1" x14ac:dyDescent="0.25">
      <c r="D478" s="1"/>
      <c r="E478" s="1"/>
    </row>
    <row r="479" spans="4:5" s="3" customFormat="1" x14ac:dyDescent="0.25">
      <c r="D479" s="1"/>
      <c r="E479" s="1"/>
    </row>
    <row r="480" spans="4:5" s="3" customFormat="1" x14ac:dyDescent="0.25">
      <c r="D480" s="1"/>
      <c r="E480" s="1"/>
    </row>
    <row r="481" spans="4:5" s="3" customFormat="1" x14ac:dyDescent="0.25">
      <c r="D481" s="1"/>
      <c r="E481" s="1"/>
    </row>
    <row r="482" spans="4:5" s="3" customFormat="1" x14ac:dyDescent="0.25">
      <c r="D482" s="1"/>
      <c r="E482" s="1"/>
    </row>
    <row r="483" spans="4:5" s="3" customFormat="1" x14ac:dyDescent="0.25">
      <c r="D483" s="1"/>
      <c r="E483" s="1"/>
    </row>
    <row r="484" spans="4:5" s="3" customFormat="1" x14ac:dyDescent="0.25">
      <c r="D484" s="1"/>
      <c r="E484" s="1"/>
    </row>
    <row r="485" spans="4:5" s="3" customFormat="1" x14ac:dyDescent="0.25">
      <c r="D485" s="1"/>
      <c r="E485" s="1"/>
    </row>
    <row r="486" spans="4:5" s="3" customFormat="1" x14ac:dyDescent="0.25">
      <c r="D486" s="1"/>
      <c r="E486" s="1"/>
    </row>
    <row r="487" spans="4:5" s="3" customFormat="1" x14ac:dyDescent="0.25">
      <c r="D487" s="1"/>
      <c r="E487" s="1"/>
    </row>
    <row r="488" spans="4:5" s="3" customFormat="1" x14ac:dyDescent="0.25">
      <c r="D488" s="1"/>
      <c r="E488" s="1"/>
    </row>
    <row r="489" spans="4:5" s="3" customFormat="1" x14ac:dyDescent="0.25">
      <c r="D489" s="1"/>
      <c r="E489" s="1"/>
    </row>
    <row r="490" spans="4:5" s="3" customFormat="1" x14ac:dyDescent="0.25">
      <c r="D490" s="1"/>
      <c r="E490" s="1"/>
    </row>
    <row r="491" spans="4:5" s="3" customFormat="1" x14ac:dyDescent="0.25">
      <c r="D491" s="1"/>
      <c r="E491" s="1"/>
    </row>
    <row r="492" spans="4:5" s="3" customFormat="1" x14ac:dyDescent="0.25">
      <c r="D492" s="1"/>
      <c r="E492" s="1"/>
    </row>
    <row r="493" spans="4:5" s="3" customFormat="1" x14ac:dyDescent="0.25">
      <c r="D493" s="1"/>
      <c r="E493" s="1"/>
    </row>
    <row r="494" spans="4:5" s="3" customFormat="1" x14ac:dyDescent="0.25">
      <c r="D494" s="1"/>
      <c r="E494" s="1"/>
    </row>
    <row r="495" spans="4:5" s="3" customFormat="1" x14ac:dyDescent="0.25">
      <c r="D495" s="1"/>
      <c r="E495" s="1"/>
    </row>
    <row r="496" spans="4:5" s="3" customFormat="1" x14ac:dyDescent="0.25">
      <c r="D496" s="1"/>
      <c r="E496" s="1"/>
    </row>
    <row r="497" spans="4:5" s="3" customFormat="1" x14ac:dyDescent="0.25">
      <c r="D497" s="1"/>
      <c r="E497" s="1"/>
    </row>
    <row r="498" spans="4:5" s="3" customFormat="1" x14ac:dyDescent="0.25">
      <c r="D498" s="1"/>
      <c r="E498" s="1"/>
    </row>
    <row r="499" spans="4:5" s="3" customFormat="1" x14ac:dyDescent="0.25">
      <c r="D499" s="1"/>
      <c r="E499" s="1"/>
    </row>
    <row r="500" spans="4:5" s="3" customFormat="1" x14ac:dyDescent="0.25">
      <c r="D500" s="1"/>
      <c r="E500" s="1"/>
    </row>
    <row r="501" spans="4:5" s="3" customFormat="1" x14ac:dyDescent="0.25">
      <c r="D501" s="1"/>
      <c r="E501" s="1"/>
    </row>
    <row r="502" spans="4:5" s="3" customFormat="1" x14ac:dyDescent="0.25">
      <c r="D502" s="1"/>
      <c r="E502" s="1"/>
    </row>
    <row r="503" spans="4:5" s="3" customFormat="1" x14ac:dyDescent="0.25">
      <c r="D503" s="1"/>
      <c r="E503" s="1"/>
    </row>
    <row r="504" spans="4:5" s="3" customFormat="1" x14ac:dyDescent="0.25">
      <c r="D504" s="1"/>
      <c r="E504" s="1"/>
    </row>
    <row r="505" spans="4:5" s="3" customFormat="1" x14ac:dyDescent="0.25">
      <c r="D505" s="1"/>
      <c r="E505" s="1"/>
    </row>
    <row r="506" spans="4:5" s="3" customFormat="1" x14ac:dyDescent="0.25">
      <c r="D506" s="1"/>
      <c r="E506" s="1"/>
    </row>
    <row r="507" spans="4:5" s="3" customFormat="1" x14ac:dyDescent="0.25">
      <c r="D507" s="1"/>
      <c r="E507" s="1"/>
    </row>
    <row r="508" spans="4:5" s="3" customFormat="1" x14ac:dyDescent="0.25">
      <c r="D508" s="1"/>
      <c r="E508" s="1"/>
    </row>
    <row r="509" spans="4:5" s="3" customFormat="1" x14ac:dyDescent="0.25">
      <c r="D509" s="1"/>
      <c r="E509" s="1"/>
    </row>
    <row r="510" spans="4:5" s="3" customFormat="1" x14ac:dyDescent="0.25">
      <c r="D510" s="1"/>
      <c r="E510" s="1"/>
    </row>
    <row r="511" spans="4:5" s="3" customFormat="1" x14ac:dyDescent="0.25">
      <c r="D511" s="1"/>
      <c r="E511" s="1"/>
    </row>
    <row r="512" spans="4:5" s="3" customFormat="1" x14ac:dyDescent="0.25">
      <c r="D512" s="1"/>
      <c r="E512" s="1"/>
    </row>
    <row r="513" spans="4:5" s="3" customFormat="1" x14ac:dyDescent="0.25">
      <c r="D513" s="1"/>
      <c r="E513" s="1"/>
    </row>
    <row r="514" spans="4:5" s="3" customFormat="1" x14ac:dyDescent="0.25">
      <c r="D514" s="1"/>
      <c r="E514" s="1"/>
    </row>
    <row r="515" spans="4:5" s="3" customFormat="1" x14ac:dyDescent="0.25">
      <c r="D515" s="1"/>
      <c r="E515" s="1"/>
    </row>
    <row r="516" spans="4:5" s="3" customFormat="1" x14ac:dyDescent="0.25">
      <c r="D516" s="1"/>
      <c r="E516" s="1"/>
    </row>
    <row r="517" spans="4:5" s="3" customFormat="1" x14ac:dyDescent="0.25">
      <c r="D517" s="1"/>
      <c r="E517" s="1"/>
    </row>
    <row r="518" spans="4:5" s="3" customFormat="1" x14ac:dyDescent="0.25">
      <c r="D518" s="1"/>
      <c r="E518" s="1"/>
    </row>
    <row r="519" spans="4:5" s="3" customFormat="1" x14ac:dyDescent="0.25">
      <c r="D519" s="1"/>
      <c r="E519" s="1"/>
    </row>
    <row r="520" spans="4:5" s="3" customFormat="1" x14ac:dyDescent="0.25">
      <c r="D520" s="1"/>
      <c r="E520" s="1"/>
    </row>
    <row r="521" spans="4:5" s="3" customFormat="1" x14ac:dyDescent="0.25">
      <c r="D521" s="1"/>
      <c r="E521" s="1"/>
    </row>
    <row r="522" spans="4:5" s="3" customFormat="1" x14ac:dyDescent="0.25">
      <c r="D522" s="1"/>
      <c r="E522" s="1"/>
    </row>
    <row r="523" spans="4:5" s="3" customFormat="1" x14ac:dyDescent="0.25">
      <c r="D523" s="1"/>
      <c r="E523" s="1"/>
    </row>
    <row r="524" spans="4:5" s="3" customFormat="1" x14ac:dyDescent="0.25">
      <c r="D524" s="1"/>
      <c r="E524" s="1"/>
    </row>
    <row r="525" spans="4:5" s="3" customFormat="1" x14ac:dyDescent="0.25">
      <c r="D525" s="1"/>
      <c r="E525" s="1"/>
    </row>
    <row r="526" spans="4:5" s="3" customFormat="1" x14ac:dyDescent="0.25">
      <c r="D526" s="1"/>
      <c r="E526" s="1"/>
    </row>
    <row r="527" spans="4:5" s="3" customFormat="1" x14ac:dyDescent="0.25">
      <c r="D527" s="1"/>
      <c r="E527" s="1"/>
    </row>
    <row r="528" spans="4:5" s="3" customFormat="1" x14ac:dyDescent="0.25">
      <c r="D528" s="1"/>
      <c r="E528" s="1"/>
    </row>
    <row r="529" spans="4:5" s="3" customFormat="1" x14ac:dyDescent="0.25">
      <c r="D529" s="1"/>
      <c r="E529" s="1"/>
    </row>
    <row r="530" spans="4:5" s="3" customFormat="1" x14ac:dyDescent="0.25">
      <c r="D530" s="1"/>
      <c r="E530" s="1"/>
    </row>
    <row r="531" spans="4:5" s="3" customFormat="1" x14ac:dyDescent="0.25">
      <c r="D531" s="1"/>
      <c r="E531" s="1"/>
    </row>
    <row r="532" spans="4:5" s="3" customFormat="1" x14ac:dyDescent="0.25">
      <c r="D532" s="1"/>
      <c r="E532" s="1"/>
    </row>
    <row r="533" spans="4:5" s="3" customFormat="1" x14ac:dyDescent="0.25">
      <c r="D533" s="1"/>
      <c r="E533" s="1"/>
    </row>
    <row r="534" spans="4:5" s="3" customFormat="1" x14ac:dyDescent="0.25">
      <c r="D534" s="1"/>
      <c r="E534" s="1"/>
    </row>
    <row r="535" spans="4:5" s="3" customFormat="1" x14ac:dyDescent="0.25">
      <c r="D535" s="1"/>
      <c r="E535" s="1"/>
    </row>
    <row r="536" spans="4:5" s="3" customFormat="1" x14ac:dyDescent="0.25">
      <c r="D536" s="1"/>
      <c r="E536" s="1"/>
    </row>
    <row r="537" spans="4:5" s="3" customFormat="1" x14ac:dyDescent="0.25">
      <c r="D537" s="1"/>
      <c r="E537" s="1"/>
    </row>
    <row r="538" spans="4:5" s="3" customFormat="1" x14ac:dyDescent="0.25">
      <c r="D538" s="1"/>
      <c r="E538" s="1"/>
    </row>
    <row r="539" spans="4:5" s="3" customFormat="1" x14ac:dyDescent="0.25">
      <c r="D539" s="1"/>
      <c r="E539" s="1"/>
    </row>
    <row r="540" spans="4:5" s="3" customFormat="1" x14ac:dyDescent="0.25">
      <c r="D540" s="1"/>
      <c r="E540" s="1"/>
    </row>
    <row r="541" spans="4:5" s="3" customFormat="1" x14ac:dyDescent="0.25">
      <c r="D541" s="1"/>
      <c r="E541" s="1"/>
    </row>
    <row r="542" spans="4:5" s="3" customFormat="1" x14ac:dyDescent="0.25">
      <c r="D542" s="1"/>
      <c r="E542" s="1"/>
    </row>
    <row r="543" spans="4:5" s="3" customFormat="1" x14ac:dyDescent="0.25">
      <c r="D543" s="1"/>
      <c r="E543" s="1"/>
    </row>
    <row r="544" spans="4:5" s="3" customFormat="1" x14ac:dyDescent="0.25">
      <c r="D544" s="1"/>
      <c r="E544" s="1"/>
    </row>
    <row r="545" spans="4:5" s="3" customFormat="1" x14ac:dyDescent="0.25">
      <c r="D545" s="1"/>
      <c r="E545" s="1"/>
    </row>
    <row r="546" spans="4:5" s="3" customFormat="1" x14ac:dyDescent="0.25">
      <c r="D546" s="1"/>
      <c r="E546" s="1"/>
    </row>
    <row r="547" spans="4:5" s="3" customFormat="1" x14ac:dyDescent="0.25">
      <c r="D547" s="1"/>
      <c r="E547" s="1"/>
    </row>
    <row r="548" spans="4:5" s="3" customFormat="1" x14ac:dyDescent="0.25">
      <c r="D548" s="1"/>
      <c r="E548" s="1"/>
    </row>
    <row r="549" spans="4:5" s="3" customFormat="1" x14ac:dyDescent="0.25">
      <c r="D549" s="1"/>
      <c r="E549" s="1"/>
    </row>
    <row r="550" spans="4:5" s="3" customFormat="1" x14ac:dyDescent="0.25">
      <c r="D550" s="1"/>
      <c r="E550" s="1"/>
    </row>
    <row r="551" spans="4:5" s="3" customFormat="1" x14ac:dyDescent="0.25">
      <c r="D551" s="1"/>
      <c r="E551" s="1"/>
    </row>
    <row r="552" spans="4:5" s="3" customFormat="1" x14ac:dyDescent="0.25">
      <c r="D552" s="1"/>
      <c r="E552" s="1"/>
    </row>
    <row r="553" spans="4:5" s="3" customFormat="1" x14ac:dyDescent="0.25">
      <c r="D553" s="1"/>
      <c r="E553" s="1"/>
    </row>
    <row r="554" spans="4:5" s="3" customFormat="1" x14ac:dyDescent="0.25">
      <c r="D554" s="1"/>
      <c r="E554" s="1"/>
    </row>
    <row r="555" spans="4:5" s="3" customFormat="1" x14ac:dyDescent="0.25">
      <c r="D555" s="1"/>
      <c r="E555" s="1"/>
    </row>
    <row r="556" spans="4:5" s="3" customFormat="1" x14ac:dyDescent="0.25">
      <c r="D556" s="1"/>
      <c r="E556" s="1"/>
    </row>
    <row r="557" spans="4:5" s="3" customFormat="1" x14ac:dyDescent="0.25">
      <c r="D557" s="1"/>
      <c r="E557" s="1"/>
    </row>
    <row r="558" spans="4:5" s="3" customFormat="1" x14ac:dyDescent="0.25">
      <c r="D558" s="1"/>
      <c r="E558" s="1"/>
    </row>
    <row r="559" spans="4:5" s="3" customFormat="1" x14ac:dyDescent="0.25">
      <c r="D559" s="1"/>
      <c r="E559" s="1"/>
    </row>
    <row r="560" spans="4:5" s="3" customFormat="1" x14ac:dyDescent="0.25">
      <c r="D560" s="1"/>
      <c r="E560" s="1"/>
    </row>
    <row r="561" spans="4:5" s="3" customFormat="1" x14ac:dyDescent="0.25">
      <c r="D561" s="1"/>
      <c r="E561" s="1"/>
    </row>
    <row r="562" spans="4:5" s="3" customFormat="1" x14ac:dyDescent="0.25">
      <c r="D562" s="1"/>
      <c r="E562" s="1"/>
    </row>
    <row r="563" spans="4:5" s="3" customFormat="1" x14ac:dyDescent="0.25">
      <c r="D563" s="1"/>
      <c r="E563" s="1"/>
    </row>
    <row r="564" spans="4:5" s="3" customFormat="1" x14ac:dyDescent="0.25">
      <c r="D564" s="1"/>
      <c r="E564" s="1"/>
    </row>
    <row r="565" spans="4:5" s="3" customFormat="1" x14ac:dyDescent="0.25">
      <c r="D565" s="1"/>
      <c r="E565" s="1"/>
    </row>
    <row r="566" spans="4:5" s="3" customFormat="1" x14ac:dyDescent="0.25">
      <c r="D566" s="1"/>
      <c r="E566" s="1"/>
    </row>
    <row r="567" spans="4:5" s="3" customFormat="1" x14ac:dyDescent="0.25">
      <c r="D567" s="1"/>
      <c r="E567" s="1"/>
    </row>
    <row r="568" spans="4:5" s="3" customFormat="1" x14ac:dyDescent="0.25">
      <c r="D568" s="1"/>
      <c r="E568" s="1"/>
    </row>
    <row r="569" spans="4:5" s="3" customFormat="1" x14ac:dyDescent="0.25">
      <c r="D569" s="1"/>
      <c r="E569" s="1"/>
    </row>
    <row r="570" spans="4:5" s="3" customFormat="1" x14ac:dyDescent="0.25">
      <c r="D570" s="1"/>
      <c r="E570" s="1"/>
    </row>
    <row r="571" spans="4:5" s="3" customFormat="1" x14ac:dyDescent="0.25">
      <c r="D571" s="1"/>
      <c r="E571" s="1"/>
    </row>
    <row r="572" spans="4:5" s="3" customFormat="1" x14ac:dyDescent="0.25">
      <c r="D572" s="1"/>
      <c r="E572" s="1"/>
    </row>
    <row r="573" spans="4:5" s="3" customFormat="1" x14ac:dyDescent="0.25">
      <c r="D573" s="1"/>
      <c r="E573" s="1"/>
    </row>
    <row r="574" spans="4:5" s="3" customFormat="1" x14ac:dyDescent="0.25">
      <c r="D574" s="1"/>
      <c r="E574" s="1"/>
    </row>
    <row r="575" spans="4:5" s="3" customFormat="1" x14ac:dyDescent="0.25">
      <c r="D575" s="1"/>
      <c r="E575" s="1"/>
    </row>
    <row r="576" spans="4:5" s="3" customFormat="1" x14ac:dyDescent="0.25">
      <c r="D576" s="1"/>
      <c r="E576" s="1"/>
    </row>
    <row r="577" spans="4:5" s="3" customFormat="1" x14ac:dyDescent="0.25">
      <c r="D577" s="1"/>
      <c r="E577" s="1"/>
    </row>
    <row r="578" spans="4:5" s="3" customFormat="1" x14ac:dyDescent="0.25">
      <c r="D578" s="1"/>
      <c r="E578" s="1"/>
    </row>
    <row r="579" spans="4:5" s="3" customFormat="1" x14ac:dyDescent="0.25">
      <c r="D579" s="1"/>
      <c r="E579" s="1"/>
    </row>
    <row r="580" spans="4:5" s="3" customFormat="1" x14ac:dyDescent="0.25">
      <c r="D580" s="1"/>
      <c r="E580" s="1"/>
    </row>
    <row r="581" spans="4:5" s="3" customFormat="1" x14ac:dyDescent="0.25">
      <c r="D581" s="1"/>
      <c r="E581" s="1"/>
    </row>
    <row r="582" spans="4:5" s="3" customFormat="1" x14ac:dyDescent="0.25">
      <c r="D582" s="1"/>
      <c r="E582" s="1"/>
    </row>
    <row r="583" spans="4:5" s="3" customFormat="1" x14ac:dyDescent="0.25">
      <c r="D583" s="1"/>
      <c r="E583" s="1"/>
    </row>
    <row r="584" spans="4:5" s="3" customFormat="1" x14ac:dyDescent="0.25">
      <c r="D584" s="1"/>
      <c r="E584" s="1"/>
    </row>
    <row r="585" spans="4:5" s="3" customFormat="1" x14ac:dyDescent="0.25">
      <c r="D585" s="1"/>
      <c r="E585" s="1"/>
    </row>
    <row r="586" spans="4:5" s="3" customFormat="1" x14ac:dyDescent="0.25">
      <c r="D586" s="1"/>
      <c r="E586" s="1"/>
    </row>
    <row r="587" spans="4:5" s="3" customFormat="1" x14ac:dyDescent="0.25">
      <c r="D587" s="1"/>
      <c r="E587" s="1"/>
    </row>
    <row r="588" spans="4:5" s="3" customFormat="1" x14ac:dyDescent="0.25">
      <c r="D588" s="1"/>
      <c r="E588" s="1"/>
    </row>
    <row r="589" spans="4:5" s="3" customFormat="1" x14ac:dyDescent="0.25">
      <c r="D589" s="1"/>
      <c r="E589" s="1"/>
    </row>
    <row r="590" spans="4:5" s="3" customFormat="1" x14ac:dyDescent="0.25">
      <c r="D590" s="1"/>
      <c r="E590" s="1"/>
    </row>
    <row r="591" spans="4:5" s="3" customFormat="1" x14ac:dyDescent="0.25">
      <c r="D591" s="1"/>
      <c r="E591" s="1"/>
    </row>
    <row r="592" spans="4:5" s="3" customFormat="1" x14ac:dyDescent="0.25">
      <c r="D592" s="1"/>
      <c r="E592" s="1"/>
    </row>
    <row r="593" spans="4:5" s="3" customFormat="1" x14ac:dyDescent="0.25">
      <c r="D593" s="1"/>
      <c r="E593" s="1"/>
    </row>
    <row r="594" spans="4:5" s="3" customFormat="1" x14ac:dyDescent="0.25">
      <c r="D594" s="1"/>
      <c r="E594" s="1"/>
    </row>
    <row r="595" spans="4:5" s="3" customFormat="1" x14ac:dyDescent="0.25">
      <c r="D595" s="1"/>
      <c r="E595" s="1"/>
    </row>
    <row r="596" spans="4:5" s="3" customFormat="1" x14ac:dyDescent="0.25">
      <c r="D596" s="1"/>
      <c r="E596" s="1"/>
    </row>
    <row r="597" spans="4:5" s="3" customFormat="1" x14ac:dyDescent="0.25">
      <c r="D597" s="1"/>
      <c r="E597" s="1"/>
    </row>
    <row r="598" spans="4:5" s="3" customFormat="1" x14ac:dyDescent="0.25">
      <c r="D598" s="1"/>
      <c r="E598" s="1"/>
    </row>
    <row r="599" spans="4:5" s="3" customFormat="1" x14ac:dyDescent="0.25">
      <c r="D599" s="1"/>
      <c r="E599" s="1"/>
    </row>
    <row r="600" spans="4:5" s="3" customFormat="1" x14ac:dyDescent="0.25">
      <c r="D600" s="1"/>
      <c r="E600" s="1"/>
    </row>
    <row r="601" spans="4:5" s="3" customFormat="1" x14ac:dyDescent="0.25">
      <c r="D601" s="1"/>
      <c r="E601" s="1"/>
    </row>
    <row r="602" spans="4:5" s="3" customFormat="1" x14ac:dyDescent="0.25">
      <c r="D602" s="1"/>
      <c r="E602" s="1"/>
    </row>
    <row r="603" spans="4:5" s="3" customFormat="1" x14ac:dyDescent="0.25">
      <c r="D603" s="1"/>
      <c r="E603" s="1"/>
    </row>
    <row r="604" spans="4:5" s="3" customFormat="1" x14ac:dyDescent="0.25">
      <c r="D604" s="1"/>
      <c r="E604" s="1"/>
    </row>
    <row r="605" spans="4:5" s="3" customFormat="1" x14ac:dyDescent="0.25">
      <c r="D605" s="1"/>
      <c r="E605" s="1"/>
    </row>
    <row r="606" spans="4:5" s="3" customFormat="1" x14ac:dyDescent="0.25">
      <c r="D606" s="1"/>
      <c r="E606" s="1"/>
    </row>
    <row r="607" spans="4:5" s="3" customFormat="1" x14ac:dyDescent="0.25">
      <c r="D607" s="1"/>
      <c r="E607" s="1"/>
    </row>
    <row r="608" spans="4:5" s="3" customFormat="1" x14ac:dyDescent="0.25">
      <c r="D608" s="1"/>
      <c r="E608" s="1"/>
    </row>
    <row r="609" spans="4:5" s="3" customFormat="1" x14ac:dyDescent="0.25">
      <c r="D609" s="1"/>
      <c r="E609" s="1"/>
    </row>
    <row r="610" spans="4:5" s="3" customFormat="1" x14ac:dyDescent="0.25">
      <c r="D610" s="1"/>
      <c r="E610" s="1"/>
    </row>
    <row r="611" spans="4:5" s="3" customFormat="1" x14ac:dyDescent="0.25">
      <c r="D611" s="1"/>
      <c r="E611" s="1"/>
    </row>
    <row r="612" spans="4:5" s="3" customFormat="1" x14ac:dyDescent="0.25">
      <c r="D612" s="1"/>
      <c r="E612" s="1"/>
    </row>
    <row r="613" spans="4:5" s="3" customFormat="1" x14ac:dyDescent="0.25">
      <c r="D613" s="1"/>
      <c r="E613" s="1"/>
    </row>
    <row r="614" spans="4:5" s="3" customFormat="1" x14ac:dyDescent="0.25">
      <c r="D614" s="1"/>
      <c r="E614" s="1"/>
    </row>
    <row r="615" spans="4:5" s="3" customFormat="1" x14ac:dyDescent="0.25">
      <c r="D615" s="1"/>
      <c r="E615" s="1"/>
    </row>
    <row r="616" spans="4:5" s="3" customFormat="1" x14ac:dyDescent="0.25">
      <c r="D616" s="1"/>
      <c r="E616" s="1"/>
    </row>
    <row r="617" spans="4:5" s="3" customFormat="1" x14ac:dyDescent="0.25">
      <c r="D617" s="1"/>
      <c r="E617" s="1"/>
    </row>
    <row r="618" spans="4:5" s="3" customFormat="1" x14ac:dyDescent="0.25">
      <c r="D618" s="1"/>
      <c r="E618" s="1"/>
    </row>
    <row r="619" spans="4:5" s="3" customFormat="1" x14ac:dyDescent="0.25">
      <c r="D619" s="1"/>
      <c r="E619" s="1"/>
    </row>
    <row r="620" spans="4:5" s="3" customFormat="1" x14ac:dyDescent="0.25">
      <c r="D620" s="1"/>
      <c r="E620" s="1"/>
    </row>
    <row r="621" spans="4:5" s="3" customFormat="1" x14ac:dyDescent="0.25">
      <c r="D621" s="1"/>
      <c r="E621" s="1"/>
    </row>
    <row r="622" spans="4:5" s="3" customFormat="1" x14ac:dyDescent="0.25">
      <c r="D622" s="1"/>
      <c r="E622" s="1"/>
    </row>
    <row r="623" spans="4:5" s="3" customFormat="1" x14ac:dyDescent="0.25">
      <c r="D623" s="1"/>
      <c r="E623" s="1"/>
    </row>
    <row r="624" spans="4:5" s="3" customFormat="1" x14ac:dyDescent="0.25">
      <c r="D624" s="1"/>
      <c r="E624" s="1"/>
    </row>
    <row r="625" spans="4:5" s="3" customFormat="1" x14ac:dyDescent="0.25">
      <c r="D625" s="1"/>
      <c r="E625" s="1"/>
    </row>
    <row r="626" spans="4:5" s="3" customFormat="1" x14ac:dyDescent="0.25">
      <c r="D626" s="1"/>
      <c r="E626" s="1"/>
    </row>
    <row r="627" spans="4:5" s="3" customFormat="1" x14ac:dyDescent="0.25">
      <c r="D627" s="1"/>
      <c r="E627" s="1"/>
    </row>
    <row r="628" spans="4:5" s="3" customFormat="1" x14ac:dyDescent="0.25">
      <c r="D628" s="1"/>
      <c r="E628" s="1"/>
    </row>
    <row r="629" spans="4:5" s="3" customFormat="1" x14ac:dyDescent="0.25">
      <c r="D629" s="1"/>
      <c r="E629" s="1"/>
    </row>
    <row r="630" spans="4:5" s="3" customFormat="1" x14ac:dyDescent="0.25">
      <c r="D630" s="1"/>
      <c r="E630" s="1"/>
    </row>
    <row r="631" spans="4:5" s="3" customFormat="1" x14ac:dyDescent="0.25">
      <c r="D631" s="1"/>
      <c r="E631" s="1"/>
    </row>
    <row r="632" spans="4:5" s="3" customFormat="1" x14ac:dyDescent="0.25">
      <c r="D632" s="1"/>
      <c r="E632" s="1"/>
    </row>
    <row r="633" spans="4:5" s="3" customFormat="1" x14ac:dyDescent="0.25">
      <c r="D633" s="1"/>
      <c r="E633" s="1"/>
    </row>
    <row r="634" spans="4:5" s="3" customFormat="1" x14ac:dyDescent="0.25">
      <c r="D634" s="1"/>
      <c r="E634" s="1"/>
    </row>
    <row r="635" spans="4:5" s="3" customFormat="1" x14ac:dyDescent="0.25">
      <c r="D635" s="1"/>
      <c r="E635" s="1"/>
    </row>
    <row r="636" spans="4:5" s="3" customFormat="1" x14ac:dyDescent="0.25">
      <c r="D636" s="1"/>
      <c r="E636" s="1"/>
    </row>
    <row r="637" spans="4:5" s="3" customFormat="1" x14ac:dyDescent="0.25">
      <c r="D637" s="1"/>
      <c r="E637" s="1"/>
    </row>
    <row r="638" spans="4:5" s="3" customFormat="1" x14ac:dyDescent="0.25">
      <c r="D638" s="1"/>
      <c r="E638" s="1"/>
    </row>
    <row r="639" spans="4:5" s="3" customFormat="1" x14ac:dyDescent="0.25">
      <c r="D639" s="1"/>
      <c r="E639" s="1"/>
    </row>
    <row r="640" spans="4:5" s="3" customFormat="1" x14ac:dyDescent="0.25">
      <c r="D640" s="1"/>
      <c r="E640" s="1"/>
    </row>
    <row r="641" spans="4:5" s="3" customFormat="1" x14ac:dyDescent="0.25">
      <c r="D641" s="1"/>
      <c r="E641" s="1"/>
    </row>
    <row r="642" spans="4:5" s="3" customFormat="1" x14ac:dyDescent="0.25">
      <c r="D642" s="1"/>
      <c r="E642" s="1"/>
    </row>
    <row r="643" spans="4:5" s="3" customFormat="1" x14ac:dyDescent="0.25">
      <c r="D643" s="1"/>
      <c r="E643" s="1"/>
    </row>
    <row r="644" spans="4:5" s="3" customFormat="1" x14ac:dyDescent="0.25">
      <c r="D644" s="1"/>
      <c r="E644" s="1"/>
    </row>
    <row r="645" spans="4:5" s="3" customFormat="1" x14ac:dyDescent="0.25">
      <c r="D645" s="1"/>
      <c r="E645" s="1"/>
    </row>
    <row r="646" spans="4:5" s="3" customFormat="1" x14ac:dyDescent="0.25">
      <c r="D646" s="1"/>
      <c r="E646" s="1"/>
    </row>
    <row r="647" spans="4:5" s="3" customFormat="1" x14ac:dyDescent="0.25">
      <c r="D647" s="1"/>
      <c r="E647" s="1"/>
    </row>
    <row r="648" spans="4:5" s="3" customFormat="1" x14ac:dyDescent="0.25">
      <c r="D648" s="1"/>
      <c r="E648" s="1"/>
    </row>
    <row r="649" spans="4:5" s="3" customFormat="1" x14ac:dyDescent="0.25">
      <c r="D649" s="1"/>
      <c r="E649" s="1"/>
    </row>
    <row r="650" spans="4:5" s="3" customFormat="1" x14ac:dyDescent="0.25">
      <c r="D650" s="1"/>
      <c r="E650" s="1"/>
    </row>
    <row r="651" spans="4:5" s="3" customFormat="1" x14ac:dyDescent="0.25">
      <c r="D651" s="1"/>
      <c r="E651" s="1"/>
    </row>
    <row r="652" spans="4:5" s="3" customFormat="1" x14ac:dyDescent="0.25">
      <c r="D652" s="1"/>
      <c r="E652" s="1"/>
    </row>
    <row r="653" spans="4:5" s="3" customFormat="1" x14ac:dyDescent="0.25">
      <c r="D653" s="1"/>
      <c r="E653" s="1"/>
    </row>
    <row r="654" spans="4:5" s="3" customFormat="1" x14ac:dyDescent="0.25">
      <c r="D654" s="1"/>
      <c r="E654" s="1"/>
    </row>
    <row r="655" spans="4:5" s="3" customFormat="1" x14ac:dyDescent="0.25">
      <c r="D655" s="1"/>
      <c r="E655" s="1"/>
    </row>
    <row r="656" spans="4:5" s="3" customFormat="1" x14ac:dyDescent="0.25">
      <c r="D656" s="1"/>
      <c r="E656" s="1"/>
    </row>
    <row r="657" spans="4:5" s="3" customFormat="1" x14ac:dyDescent="0.25">
      <c r="D657" s="1"/>
      <c r="E657" s="1"/>
    </row>
    <row r="658" spans="4:5" s="3" customFormat="1" x14ac:dyDescent="0.25">
      <c r="D658" s="1"/>
      <c r="E658" s="1"/>
    </row>
    <row r="659" spans="4:5" s="3" customFormat="1" x14ac:dyDescent="0.25">
      <c r="D659" s="1"/>
      <c r="E659" s="1"/>
    </row>
    <row r="660" spans="4:5" s="3" customFormat="1" x14ac:dyDescent="0.25">
      <c r="D660" s="1"/>
      <c r="E660" s="1"/>
    </row>
    <row r="661" spans="4:5" s="3" customFormat="1" x14ac:dyDescent="0.25">
      <c r="D661" s="1"/>
      <c r="E661" s="1"/>
    </row>
    <row r="662" spans="4:5" s="3" customFormat="1" x14ac:dyDescent="0.25">
      <c r="D662" s="1"/>
      <c r="E662" s="1"/>
    </row>
    <row r="663" spans="4:5" s="3" customFormat="1" x14ac:dyDescent="0.25">
      <c r="D663" s="1"/>
      <c r="E663" s="1"/>
    </row>
    <row r="664" spans="4:5" s="3" customFormat="1" x14ac:dyDescent="0.25">
      <c r="D664" s="1"/>
      <c r="E664" s="1"/>
    </row>
    <row r="665" spans="4:5" s="3" customFormat="1" x14ac:dyDescent="0.25">
      <c r="D665" s="1"/>
      <c r="E665" s="1"/>
    </row>
    <row r="666" spans="4:5" s="3" customFormat="1" x14ac:dyDescent="0.25">
      <c r="D666" s="1"/>
      <c r="E666" s="1"/>
    </row>
    <row r="667" spans="4:5" s="3" customFormat="1" x14ac:dyDescent="0.25">
      <c r="D667" s="1"/>
      <c r="E667" s="1"/>
    </row>
    <row r="668" spans="4:5" s="3" customFormat="1" x14ac:dyDescent="0.25">
      <c r="D668" s="1"/>
      <c r="E668" s="1"/>
    </row>
    <row r="669" spans="4:5" s="3" customFormat="1" x14ac:dyDescent="0.25">
      <c r="D669" s="1"/>
      <c r="E669" s="1"/>
    </row>
    <row r="670" spans="4:5" s="3" customFormat="1" x14ac:dyDescent="0.25">
      <c r="D670" s="1"/>
      <c r="E670" s="1"/>
    </row>
    <row r="671" spans="4:5" s="3" customFormat="1" x14ac:dyDescent="0.25">
      <c r="D671" s="1"/>
      <c r="E671" s="1"/>
    </row>
    <row r="672" spans="4:5" s="3" customFormat="1" x14ac:dyDescent="0.25">
      <c r="D672" s="1"/>
      <c r="E672" s="1"/>
    </row>
    <row r="673" spans="4:5" s="3" customFormat="1" x14ac:dyDescent="0.25">
      <c r="D673" s="1"/>
      <c r="E673" s="1"/>
    </row>
    <row r="674" spans="4:5" s="3" customFormat="1" x14ac:dyDescent="0.25">
      <c r="D674" s="1"/>
      <c r="E674" s="1"/>
    </row>
    <row r="675" spans="4:5" s="3" customFormat="1" x14ac:dyDescent="0.25">
      <c r="D675" s="1"/>
      <c r="E675" s="1"/>
    </row>
    <row r="676" spans="4:5" s="3" customFormat="1" x14ac:dyDescent="0.25">
      <c r="D676" s="1"/>
      <c r="E676" s="1"/>
    </row>
    <row r="677" spans="4:5" s="3" customFormat="1" x14ac:dyDescent="0.25">
      <c r="D677" s="1"/>
      <c r="E677" s="1"/>
    </row>
    <row r="678" spans="4:5" s="3" customFormat="1" x14ac:dyDescent="0.25">
      <c r="D678" s="1"/>
      <c r="E678" s="1"/>
    </row>
    <row r="679" spans="4:5" s="3" customFormat="1" x14ac:dyDescent="0.25">
      <c r="D679" s="1"/>
      <c r="E679" s="1"/>
    </row>
    <row r="680" spans="4:5" s="3" customFormat="1" x14ac:dyDescent="0.25">
      <c r="D680" s="1"/>
      <c r="E680" s="1"/>
    </row>
    <row r="681" spans="4:5" s="3" customFormat="1" x14ac:dyDescent="0.25">
      <c r="D681" s="1"/>
      <c r="E681" s="1"/>
    </row>
    <row r="682" spans="4:5" s="3" customFormat="1" x14ac:dyDescent="0.25">
      <c r="D682" s="1"/>
      <c r="E682" s="1"/>
    </row>
    <row r="683" spans="4:5" s="3" customFormat="1" x14ac:dyDescent="0.25">
      <c r="D683" s="1"/>
      <c r="E683" s="1"/>
    </row>
    <row r="684" spans="4:5" s="3" customFormat="1" x14ac:dyDescent="0.25">
      <c r="D684" s="1"/>
      <c r="E684" s="1"/>
    </row>
    <row r="685" spans="4:5" s="3" customFormat="1" x14ac:dyDescent="0.25">
      <c r="D685" s="1"/>
      <c r="E685" s="1"/>
    </row>
    <row r="686" spans="4:5" s="3" customFormat="1" x14ac:dyDescent="0.25">
      <c r="D686" s="1"/>
      <c r="E686" s="1"/>
    </row>
    <row r="687" spans="4:5" s="3" customFormat="1" x14ac:dyDescent="0.25">
      <c r="D687" s="1"/>
      <c r="E687" s="1"/>
    </row>
    <row r="688" spans="4:5" s="3" customFormat="1" x14ac:dyDescent="0.25">
      <c r="D688" s="1"/>
      <c r="E688" s="1"/>
    </row>
    <row r="689" spans="4:5" s="3" customFormat="1" x14ac:dyDescent="0.25">
      <c r="D689" s="1"/>
      <c r="E689" s="1"/>
    </row>
    <row r="690" spans="4:5" s="3" customFormat="1" x14ac:dyDescent="0.25">
      <c r="D690" s="1"/>
      <c r="E690" s="1"/>
    </row>
    <row r="691" spans="4:5" s="3" customFormat="1" x14ac:dyDescent="0.25">
      <c r="D691" s="1"/>
      <c r="E691" s="1"/>
    </row>
    <row r="692" spans="4:5" s="3" customFormat="1" x14ac:dyDescent="0.25">
      <c r="D692" s="1"/>
      <c r="E692" s="1"/>
    </row>
    <row r="693" spans="4:5" s="3" customFormat="1" x14ac:dyDescent="0.25">
      <c r="D693" s="1"/>
      <c r="E693" s="1"/>
    </row>
    <row r="694" spans="4:5" s="3" customFormat="1" x14ac:dyDescent="0.25">
      <c r="D694" s="1"/>
      <c r="E694" s="1"/>
    </row>
    <row r="695" spans="4:5" s="3" customFormat="1" x14ac:dyDescent="0.25">
      <c r="D695" s="1"/>
      <c r="E695" s="1"/>
    </row>
    <row r="696" spans="4:5" s="3" customFormat="1" x14ac:dyDescent="0.25">
      <c r="D696" s="1"/>
      <c r="E696" s="1"/>
    </row>
    <row r="697" spans="4:5" s="3" customFormat="1" x14ac:dyDescent="0.25">
      <c r="D697" s="1"/>
      <c r="E697" s="1"/>
    </row>
    <row r="698" spans="4:5" s="3" customFormat="1" x14ac:dyDescent="0.25">
      <c r="D698" s="1"/>
      <c r="E698" s="1"/>
    </row>
    <row r="699" spans="4:5" s="3" customFormat="1" x14ac:dyDescent="0.25">
      <c r="D699" s="1"/>
      <c r="E699" s="1"/>
    </row>
    <row r="700" spans="4:5" s="3" customFormat="1" x14ac:dyDescent="0.25">
      <c r="D700" s="1"/>
      <c r="E700" s="1"/>
    </row>
    <row r="701" spans="4:5" s="3" customFormat="1" x14ac:dyDescent="0.25">
      <c r="D701" s="1"/>
      <c r="E701" s="1"/>
    </row>
    <row r="702" spans="4:5" s="3" customFormat="1" x14ac:dyDescent="0.25">
      <c r="D702" s="1"/>
      <c r="E702" s="1"/>
    </row>
    <row r="703" spans="4:5" s="3" customFormat="1" x14ac:dyDescent="0.25">
      <c r="D703" s="1"/>
      <c r="E703" s="1"/>
    </row>
    <row r="704" spans="4:5" s="3" customFormat="1" x14ac:dyDescent="0.25">
      <c r="D704" s="1"/>
      <c r="E704" s="1"/>
    </row>
    <row r="705" spans="4:5" s="3" customFormat="1" x14ac:dyDescent="0.25">
      <c r="D705" s="1"/>
      <c r="E705" s="1"/>
    </row>
    <row r="706" spans="4:5" s="3" customFormat="1" x14ac:dyDescent="0.25">
      <c r="D706" s="1"/>
      <c r="E706" s="1"/>
    </row>
    <row r="707" spans="4:5" s="3" customFormat="1" x14ac:dyDescent="0.25">
      <c r="D707" s="1"/>
      <c r="E707" s="1"/>
    </row>
    <row r="708" spans="4:5" s="3" customFormat="1" x14ac:dyDescent="0.25">
      <c r="D708" s="1"/>
      <c r="E708" s="1"/>
    </row>
    <row r="709" spans="4:5" s="3" customFormat="1" x14ac:dyDescent="0.25">
      <c r="D709" s="1"/>
      <c r="E709" s="1"/>
    </row>
    <row r="710" spans="4:5" s="3" customFormat="1" x14ac:dyDescent="0.25">
      <c r="D710" s="1"/>
      <c r="E710" s="1"/>
    </row>
    <row r="711" spans="4:5" s="3" customFormat="1" x14ac:dyDescent="0.25">
      <c r="D711" s="1"/>
      <c r="E711" s="1"/>
    </row>
    <row r="712" spans="4:5" s="3" customFormat="1" x14ac:dyDescent="0.25">
      <c r="D712" s="1"/>
      <c r="E712" s="1"/>
    </row>
    <row r="713" spans="4:5" s="3" customFormat="1" x14ac:dyDescent="0.25">
      <c r="D713" s="1"/>
      <c r="E713" s="1"/>
    </row>
    <row r="714" spans="4:5" s="3" customFormat="1" x14ac:dyDescent="0.25">
      <c r="D714" s="1"/>
      <c r="E714" s="1"/>
    </row>
    <row r="715" spans="4:5" s="3" customFormat="1" x14ac:dyDescent="0.25">
      <c r="D715" s="1"/>
      <c r="E715" s="1"/>
    </row>
    <row r="716" spans="4:5" s="3" customFormat="1" x14ac:dyDescent="0.25">
      <c r="D716" s="1"/>
      <c r="E716" s="1"/>
    </row>
    <row r="717" spans="4:5" s="3" customFormat="1" x14ac:dyDescent="0.25">
      <c r="D717" s="1"/>
      <c r="E717" s="1"/>
    </row>
    <row r="718" spans="4:5" s="3" customFormat="1" x14ac:dyDescent="0.25">
      <c r="D718" s="1"/>
      <c r="E718" s="1"/>
    </row>
    <row r="719" spans="4:5" s="3" customFormat="1" x14ac:dyDescent="0.25">
      <c r="D719" s="1"/>
      <c r="E719" s="1"/>
    </row>
    <row r="720" spans="4:5" s="3" customFormat="1" x14ac:dyDescent="0.25">
      <c r="D720" s="1"/>
      <c r="E720" s="1"/>
    </row>
    <row r="721" spans="4:5" s="3" customFormat="1" x14ac:dyDescent="0.25">
      <c r="D721" s="1"/>
      <c r="E721" s="1"/>
    </row>
    <row r="722" spans="4:5" s="3" customFormat="1" x14ac:dyDescent="0.25">
      <c r="D722" s="1"/>
      <c r="E722" s="1"/>
    </row>
    <row r="723" spans="4:5" s="3" customFormat="1" x14ac:dyDescent="0.25">
      <c r="D723" s="1"/>
      <c r="E723" s="1"/>
    </row>
    <row r="724" spans="4:5" s="3" customFormat="1" x14ac:dyDescent="0.25">
      <c r="D724" s="1"/>
      <c r="E724" s="1"/>
    </row>
    <row r="725" spans="4:5" s="3" customFormat="1" x14ac:dyDescent="0.25">
      <c r="D725" s="1"/>
      <c r="E725" s="1"/>
    </row>
    <row r="726" spans="4:5" s="3" customFormat="1" x14ac:dyDescent="0.25">
      <c r="D726" s="1"/>
      <c r="E726" s="1"/>
    </row>
    <row r="727" spans="4:5" s="3" customFormat="1" x14ac:dyDescent="0.25">
      <c r="D727" s="1"/>
      <c r="E727" s="1"/>
    </row>
    <row r="728" spans="4:5" s="3" customFormat="1" x14ac:dyDescent="0.25">
      <c r="D728" s="1"/>
      <c r="E728" s="1"/>
    </row>
    <row r="729" spans="4:5" s="3" customFormat="1" x14ac:dyDescent="0.25">
      <c r="D729" s="1"/>
      <c r="E729" s="1"/>
    </row>
    <row r="730" spans="4:5" s="3" customFormat="1" x14ac:dyDescent="0.25">
      <c r="D730" s="1"/>
      <c r="E730" s="1"/>
    </row>
    <row r="731" spans="4:5" s="3" customFormat="1" x14ac:dyDescent="0.25">
      <c r="D731" s="1"/>
      <c r="E731" s="1"/>
    </row>
    <row r="732" spans="4:5" s="3" customFormat="1" x14ac:dyDescent="0.25">
      <c r="D732" s="1"/>
      <c r="E732" s="1"/>
    </row>
    <row r="733" spans="4:5" s="3" customFormat="1" x14ac:dyDescent="0.25">
      <c r="D733" s="1"/>
      <c r="E733" s="1"/>
    </row>
    <row r="734" spans="4:5" s="3" customFormat="1" x14ac:dyDescent="0.25">
      <c r="D734" s="1"/>
      <c r="E734" s="1"/>
    </row>
    <row r="735" spans="4:5" s="3" customFormat="1" x14ac:dyDescent="0.25">
      <c r="D735" s="1"/>
      <c r="E735" s="1"/>
    </row>
    <row r="736" spans="4:5" s="3" customFormat="1" x14ac:dyDescent="0.25">
      <c r="D736" s="1"/>
      <c r="E736" s="1"/>
    </row>
    <row r="737" spans="4:5" s="3" customFormat="1" x14ac:dyDescent="0.25">
      <c r="D737" s="1"/>
      <c r="E737" s="1"/>
    </row>
    <row r="738" spans="4:5" s="3" customFormat="1" x14ac:dyDescent="0.25">
      <c r="D738" s="1"/>
      <c r="E738" s="1"/>
    </row>
    <row r="739" spans="4:5" s="3" customFormat="1" x14ac:dyDescent="0.25">
      <c r="D739" s="1"/>
      <c r="E739" s="1"/>
    </row>
    <row r="740" spans="4:5" s="3" customFormat="1" x14ac:dyDescent="0.25">
      <c r="D740" s="1"/>
      <c r="E740" s="1"/>
    </row>
    <row r="741" spans="4:5" s="3" customFormat="1" x14ac:dyDescent="0.25">
      <c r="D741" s="1"/>
      <c r="E741" s="1"/>
    </row>
    <row r="742" spans="4:5" s="3" customFormat="1" x14ac:dyDescent="0.25">
      <c r="D742" s="1"/>
      <c r="E742" s="1"/>
    </row>
    <row r="743" spans="4:5" s="3" customFormat="1" x14ac:dyDescent="0.25">
      <c r="D743" s="1"/>
      <c r="E743" s="1"/>
    </row>
    <row r="744" spans="4:5" s="3" customFormat="1" x14ac:dyDescent="0.25">
      <c r="D744" s="1"/>
      <c r="E744" s="1"/>
    </row>
    <row r="745" spans="4:5" s="3" customFormat="1" x14ac:dyDescent="0.25">
      <c r="D745" s="1"/>
      <c r="E745" s="1"/>
    </row>
    <row r="746" spans="4:5" s="3" customFormat="1" x14ac:dyDescent="0.25">
      <c r="D746" s="1"/>
      <c r="E746" s="1"/>
    </row>
    <row r="747" spans="4:5" s="3" customFormat="1" x14ac:dyDescent="0.25">
      <c r="D747" s="1"/>
      <c r="E747" s="1"/>
    </row>
    <row r="748" spans="4:5" s="3" customFormat="1" x14ac:dyDescent="0.25">
      <c r="D748" s="1"/>
      <c r="E748" s="1"/>
    </row>
    <row r="749" spans="4:5" s="3" customFormat="1" x14ac:dyDescent="0.25">
      <c r="D749" s="1"/>
      <c r="E749" s="1"/>
    </row>
    <row r="750" spans="4:5" s="3" customFormat="1" x14ac:dyDescent="0.25">
      <c r="D750" s="1"/>
      <c r="E750" s="1"/>
    </row>
    <row r="751" spans="4:5" s="3" customFormat="1" x14ac:dyDescent="0.25">
      <c r="D751" s="1"/>
      <c r="E751" s="1"/>
    </row>
    <row r="752" spans="4:5" s="3" customFormat="1" x14ac:dyDescent="0.25">
      <c r="D752" s="1"/>
      <c r="E752" s="1"/>
    </row>
    <row r="753" spans="4:5" s="3" customFormat="1" x14ac:dyDescent="0.25">
      <c r="D753" s="1"/>
      <c r="E753" s="1"/>
    </row>
    <row r="754" spans="4:5" s="3" customFormat="1" x14ac:dyDescent="0.25">
      <c r="D754" s="1"/>
      <c r="E754" s="1"/>
    </row>
    <row r="755" spans="4:5" s="3" customFormat="1" x14ac:dyDescent="0.25">
      <c r="D755" s="1"/>
      <c r="E755" s="1"/>
    </row>
    <row r="756" spans="4:5" s="3" customFormat="1" x14ac:dyDescent="0.25">
      <c r="D756" s="1"/>
      <c r="E756" s="1"/>
    </row>
    <row r="757" spans="4:5" s="3" customFormat="1" x14ac:dyDescent="0.25">
      <c r="D757" s="1"/>
      <c r="E757" s="1"/>
    </row>
    <row r="758" spans="4:5" s="3" customFormat="1" x14ac:dyDescent="0.25">
      <c r="D758" s="1"/>
      <c r="E758" s="1"/>
    </row>
    <row r="759" spans="4:5" s="3" customFormat="1" x14ac:dyDescent="0.25">
      <c r="D759" s="1"/>
      <c r="E759" s="1"/>
    </row>
    <row r="760" spans="4:5" s="3" customFormat="1" x14ac:dyDescent="0.25">
      <c r="D760" s="1"/>
      <c r="E760" s="1"/>
    </row>
    <row r="761" spans="4:5" s="3" customFormat="1" x14ac:dyDescent="0.25">
      <c r="D761" s="1"/>
      <c r="E761" s="1"/>
    </row>
    <row r="762" spans="4:5" s="3" customFormat="1" x14ac:dyDescent="0.25">
      <c r="D762" s="1"/>
      <c r="E762" s="1"/>
    </row>
    <row r="763" spans="4:5" s="3" customFormat="1" x14ac:dyDescent="0.25">
      <c r="D763" s="1"/>
      <c r="E763" s="1"/>
    </row>
    <row r="764" spans="4:5" s="3" customFormat="1" x14ac:dyDescent="0.25">
      <c r="D764" s="1"/>
      <c r="E764" s="1"/>
    </row>
    <row r="765" spans="4:5" s="3" customFormat="1" x14ac:dyDescent="0.25">
      <c r="D765" s="1"/>
      <c r="E765" s="1"/>
    </row>
    <row r="766" spans="4:5" s="3" customFormat="1" x14ac:dyDescent="0.25">
      <c r="D766" s="1"/>
      <c r="E766" s="1"/>
    </row>
    <row r="767" spans="4:5" s="3" customFormat="1" x14ac:dyDescent="0.25">
      <c r="D767" s="1"/>
      <c r="E767" s="1"/>
    </row>
    <row r="768" spans="4:5" s="3" customFormat="1" x14ac:dyDescent="0.25">
      <c r="D768" s="1"/>
      <c r="E768" s="1"/>
    </row>
    <row r="769" spans="4:5" s="3" customFormat="1" x14ac:dyDescent="0.25">
      <c r="D769" s="1"/>
      <c r="E769" s="1"/>
    </row>
    <row r="770" spans="4:5" s="3" customFormat="1" x14ac:dyDescent="0.25">
      <c r="D770" s="1"/>
      <c r="E770" s="1"/>
    </row>
    <row r="771" spans="4:5" s="3" customFormat="1" x14ac:dyDescent="0.25">
      <c r="D771" s="1"/>
      <c r="E771" s="1"/>
    </row>
    <row r="772" spans="4:5" s="3" customFormat="1" x14ac:dyDescent="0.25">
      <c r="D772" s="1"/>
      <c r="E772" s="1"/>
    </row>
    <row r="773" spans="4:5" s="3" customFormat="1" x14ac:dyDescent="0.25">
      <c r="D773" s="1"/>
      <c r="E773" s="1"/>
    </row>
    <row r="774" spans="4:5" s="3" customFormat="1" x14ac:dyDescent="0.25">
      <c r="D774" s="1"/>
      <c r="E774" s="1"/>
    </row>
    <row r="775" spans="4:5" s="3" customFormat="1" x14ac:dyDescent="0.25">
      <c r="D775" s="1"/>
      <c r="E775" s="1"/>
    </row>
    <row r="776" spans="4:5" s="3" customFormat="1" x14ac:dyDescent="0.25">
      <c r="D776" s="1"/>
      <c r="E776" s="1"/>
    </row>
    <row r="777" spans="4:5" s="3" customFormat="1" x14ac:dyDescent="0.25">
      <c r="D777" s="1"/>
      <c r="E777" s="1"/>
    </row>
    <row r="778" spans="4:5" s="3" customFormat="1" x14ac:dyDescent="0.25">
      <c r="D778" s="1"/>
      <c r="E778" s="1"/>
    </row>
    <row r="779" spans="4:5" s="3" customFormat="1" x14ac:dyDescent="0.25">
      <c r="D779" s="1"/>
      <c r="E779" s="1"/>
    </row>
    <row r="780" spans="4:5" s="3" customFormat="1" x14ac:dyDescent="0.25">
      <c r="D780" s="1"/>
      <c r="E780" s="1"/>
    </row>
    <row r="781" spans="4:5" s="3" customFormat="1" x14ac:dyDescent="0.25">
      <c r="D781" s="1"/>
      <c r="E781" s="1"/>
    </row>
    <row r="782" spans="4:5" s="3" customFormat="1" x14ac:dyDescent="0.25">
      <c r="D782" s="1"/>
      <c r="E782" s="1"/>
    </row>
    <row r="783" spans="4:5" s="3" customFormat="1" x14ac:dyDescent="0.25">
      <c r="D783" s="1"/>
      <c r="E783" s="1"/>
    </row>
    <row r="784" spans="4:5" s="3" customFormat="1" x14ac:dyDescent="0.25">
      <c r="D784" s="1"/>
      <c r="E784" s="1"/>
    </row>
    <row r="785" spans="4:5" s="3" customFormat="1" x14ac:dyDescent="0.25">
      <c r="D785" s="1"/>
      <c r="E785" s="1"/>
    </row>
    <row r="786" spans="4:5" s="3" customFormat="1" x14ac:dyDescent="0.25">
      <c r="D786" s="1"/>
      <c r="E786" s="1"/>
    </row>
    <row r="787" spans="4:5" s="3" customFormat="1" x14ac:dyDescent="0.25">
      <c r="D787" s="1"/>
      <c r="E787" s="1"/>
    </row>
    <row r="788" spans="4:5" s="3" customFormat="1" x14ac:dyDescent="0.25">
      <c r="D788" s="1"/>
      <c r="E788" s="1"/>
    </row>
    <row r="789" spans="4:5" s="3" customFormat="1" x14ac:dyDescent="0.25">
      <c r="D789" s="1"/>
      <c r="E789" s="1"/>
    </row>
    <row r="790" spans="4:5" s="3" customFormat="1" x14ac:dyDescent="0.25">
      <c r="D790" s="1"/>
      <c r="E790" s="1"/>
    </row>
    <row r="791" spans="4:5" s="3" customFormat="1" x14ac:dyDescent="0.25">
      <c r="D791" s="1"/>
      <c r="E791" s="1"/>
    </row>
    <row r="792" spans="4:5" s="3" customFormat="1" x14ac:dyDescent="0.25">
      <c r="D792" s="1"/>
      <c r="E792" s="1"/>
    </row>
    <row r="793" spans="4:5" s="3" customFormat="1" x14ac:dyDescent="0.25">
      <c r="D793" s="1"/>
      <c r="E793" s="1"/>
    </row>
    <row r="794" spans="4:5" s="3" customFormat="1" x14ac:dyDescent="0.25">
      <c r="D794" s="1"/>
      <c r="E794" s="1"/>
    </row>
    <row r="795" spans="4:5" s="3" customFormat="1" x14ac:dyDescent="0.25">
      <c r="D795" s="1"/>
      <c r="E795" s="1"/>
    </row>
    <row r="796" spans="4:5" s="3" customFormat="1" x14ac:dyDescent="0.25">
      <c r="D796" s="1"/>
      <c r="E796" s="1"/>
    </row>
    <row r="797" spans="4:5" s="3" customFormat="1" x14ac:dyDescent="0.25">
      <c r="D797" s="1"/>
      <c r="E797" s="1"/>
    </row>
    <row r="798" spans="4:5" s="3" customFormat="1" x14ac:dyDescent="0.25">
      <c r="D798" s="1"/>
      <c r="E798" s="1"/>
    </row>
    <row r="799" spans="4:5" s="3" customFormat="1" x14ac:dyDescent="0.25">
      <c r="D799" s="1"/>
      <c r="E799" s="1"/>
    </row>
    <row r="800" spans="4:5" s="3" customFormat="1" x14ac:dyDescent="0.25">
      <c r="D800" s="1"/>
      <c r="E800" s="1"/>
    </row>
    <row r="801" spans="4:5" s="3" customFormat="1" x14ac:dyDescent="0.25">
      <c r="D801" s="1"/>
      <c r="E801" s="1"/>
    </row>
    <row r="802" spans="4:5" s="3" customFormat="1" x14ac:dyDescent="0.25">
      <c r="D802" s="1"/>
      <c r="E802" s="1"/>
    </row>
    <row r="803" spans="4:5" s="3" customFormat="1" x14ac:dyDescent="0.25">
      <c r="D803" s="1"/>
      <c r="E803" s="1"/>
    </row>
    <row r="804" spans="4:5" s="3" customFormat="1" x14ac:dyDescent="0.25">
      <c r="D804" s="1"/>
      <c r="E804" s="1"/>
    </row>
    <row r="805" spans="4:5" s="3" customFormat="1" x14ac:dyDescent="0.25">
      <c r="D805" s="1"/>
      <c r="E805" s="1"/>
    </row>
    <row r="806" spans="4:5" s="3" customFormat="1" x14ac:dyDescent="0.25">
      <c r="D806" s="1"/>
      <c r="E806" s="1"/>
    </row>
    <row r="807" spans="4:5" s="3" customFormat="1" x14ac:dyDescent="0.25">
      <c r="D807" s="1"/>
      <c r="E807" s="1"/>
    </row>
    <row r="808" spans="4:5" s="3" customFormat="1" x14ac:dyDescent="0.25">
      <c r="D808" s="1"/>
      <c r="E808" s="1"/>
    </row>
    <row r="809" spans="4:5" s="3" customFormat="1" x14ac:dyDescent="0.25">
      <c r="D809" s="1"/>
      <c r="E809" s="1"/>
    </row>
    <row r="810" spans="4:5" s="3" customFormat="1" x14ac:dyDescent="0.25">
      <c r="D810" s="1"/>
      <c r="E810" s="1"/>
    </row>
    <row r="811" spans="4:5" s="3" customFormat="1" x14ac:dyDescent="0.25">
      <c r="D811" s="1"/>
      <c r="E811" s="1"/>
    </row>
    <row r="812" spans="4:5" s="3" customFormat="1" x14ac:dyDescent="0.25">
      <c r="D812" s="1"/>
      <c r="E812" s="1"/>
    </row>
    <row r="813" spans="4:5" s="3" customFormat="1" x14ac:dyDescent="0.25">
      <c r="D813" s="1"/>
      <c r="E813" s="1"/>
    </row>
    <row r="814" spans="4:5" s="3" customFormat="1" x14ac:dyDescent="0.25">
      <c r="D814" s="1"/>
      <c r="E814" s="1"/>
    </row>
    <row r="815" spans="4:5" s="3" customFormat="1" x14ac:dyDescent="0.25">
      <c r="D815" s="1"/>
      <c r="E815" s="1"/>
    </row>
    <row r="816" spans="4:5" s="3" customFormat="1" x14ac:dyDescent="0.25">
      <c r="D816" s="1"/>
      <c r="E816" s="1"/>
    </row>
    <row r="817" spans="4:5" s="3" customFormat="1" x14ac:dyDescent="0.25">
      <c r="D817" s="1"/>
      <c r="E817" s="1"/>
    </row>
    <row r="818" spans="4:5" s="3" customFormat="1" x14ac:dyDescent="0.25">
      <c r="D818" s="1"/>
      <c r="E818" s="1"/>
    </row>
    <row r="819" spans="4:5" s="3" customFormat="1" x14ac:dyDescent="0.25">
      <c r="D819" s="1"/>
      <c r="E819" s="1"/>
    </row>
    <row r="820" spans="4:5" s="3" customFormat="1" x14ac:dyDescent="0.25">
      <c r="D820" s="1"/>
      <c r="E820" s="1"/>
    </row>
    <row r="821" spans="4:5" s="3" customFormat="1" x14ac:dyDescent="0.25">
      <c r="D821" s="1"/>
      <c r="E821" s="1"/>
    </row>
    <row r="822" spans="4:5" s="3" customFormat="1" x14ac:dyDescent="0.25">
      <c r="D822" s="1"/>
      <c r="E822" s="1"/>
    </row>
    <row r="823" spans="4:5" s="3" customFormat="1" x14ac:dyDescent="0.25">
      <c r="D823" s="1"/>
      <c r="E823" s="1"/>
    </row>
    <row r="824" spans="4:5" s="3" customFormat="1" x14ac:dyDescent="0.25">
      <c r="D824" s="1"/>
      <c r="E824" s="1"/>
    </row>
    <row r="825" spans="4:5" s="3" customFormat="1" x14ac:dyDescent="0.25">
      <c r="D825" s="1"/>
      <c r="E825" s="1"/>
    </row>
    <row r="826" spans="4:5" s="3" customFormat="1" x14ac:dyDescent="0.25">
      <c r="D826" s="1"/>
      <c r="E826" s="1"/>
    </row>
    <row r="827" spans="4:5" s="3" customFormat="1" x14ac:dyDescent="0.25">
      <c r="D827" s="1"/>
      <c r="E827" s="1"/>
    </row>
    <row r="828" spans="4:5" s="3" customFormat="1" x14ac:dyDescent="0.25">
      <c r="D828" s="1"/>
      <c r="E828" s="1"/>
    </row>
    <row r="829" spans="4:5" s="3" customFormat="1" x14ac:dyDescent="0.25">
      <c r="D829" s="1"/>
      <c r="E829" s="1"/>
    </row>
    <row r="830" spans="4:5" s="3" customFormat="1" x14ac:dyDescent="0.25">
      <c r="D830" s="1"/>
      <c r="E830" s="1"/>
    </row>
    <row r="831" spans="4:5" s="3" customFormat="1" x14ac:dyDescent="0.25">
      <c r="D831" s="1"/>
      <c r="E831" s="1"/>
    </row>
    <row r="832" spans="4:5" s="3" customFormat="1" x14ac:dyDescent="0.25">
      <c r="D832" s="1"/>
      <c r="E832" s="1"/>
    </row>
    <row r="833" spans="4:5" s="3" customFormat="1" x14ac:dyDescent="0.25">
      <c r="D833" s="1"/>
      <c r="E833" s="1"/>
    </row>
    <row r="834" spans="4:5" s="3" customFormat="1" x14ac:dyDescent="0.25">
      <c r="D834" s="1"/>
      <c r="E834" s="1"/>
    </row>
    <row r="835" spans="4:5" s="3" customFormat="1" x14ac:dyDescent="0.25">
      <c r="D835" s="1"/>
      <c r="E835" s="1"/>
    </row>
    <row r="836" spans="4:5" s="3" customFormat="1" x14ac:dyDescent="0.25">
      <c r="D836" s="1"/>
      <c r="E836" s="1"/>
    </row>
    <row r="837" spans="4:5" s="3" customFormat="1" x14ac:dyDescent="0.25">
      <c r="D837" s="1"/>
      <c r="E837" s="1"/>
    </row>
    <row r="838" spans="4:5" s="3" customFormat="1" x14ac:dyDescent="0.25">
      <c r="D838" s="1"/>
      <c r="E838" s="1"/>
    </row>
    <row r="839" spans="4:5" s="3" customFormat="1" x14ac:dyDescent="0.25">
      <c r="D839" s="1"/>
      <c r="E839" s="1"/>
    </row>
    <row r="840" spans="4:5" s="3" customFormat="1" x14ac:dyDescent="0.25">
      <c r="D840" s="1"/>
      <c r="E840" s="1"/>
    </row>
    <row r="841" spans="4:5" s="3" customFormat="1" x14ac:dyDescent="0.25">
      <c r="D841" s="1"/>
      <c r="E841" s="1"/>
    </row>
    <row r="842" spans="4:5" s="3" customFormat="1" x14ac:dyDescent="0.25">
      <c r="D842" s="1"/>
      <c r="E842" s="1"/>
    </row>
    <row r="843" spans="4:5" s="3" customFormat="1" x14ac:dyDescent="0.25">
      <c r="D843" s="1"/>
      <c r="E843" s="1"/>
    </row>
    <row r="844" spans="4:5" s="3" customFormat="1" x14ac:dyDescent="0.25">
      <c r="D844" s="1"/>
      <c r="E844" s="1"/>
    </row>
    <row r="845" spans="4:5" s="3" customFormat="1" x14ac:dyDescent="0.25">
      <c r="D845" s="1"/>
      <c r="E845" s="1"/>
    </row>
    <row r="846" spans="4:5" s="3" customFormat="1" x14ac:dyDescent="0.25">
      <c r="D846" s="1"/>
      <c r="E846" s="1"/>
    </row>
    <row r="847" spans="4:5" s="3" customFormat="1" x14ac:dyDescent="0.25">
      <c r="D847" s="1"/>
      <c r="E847" s="1"/>
    </row>
    <row r="848" spans="4:5" s="3" customFormat="1" x14ac:dyDescent="0.25">
      <c r="D848" s="1"/>
      <c r="E848" s="1"/>
    </row>
    <row r="849" spans="4:5" s="3" customFormat="1" x14ac:dyDescent="0.25">
      <c r="D849" s="1"/>
      <c r="E849" s="1"/>
    </row>
    <row r="850" spans="4:5" s="3" customFormat="1" x14ac:dyDescent="0.25">
      <c r="D850" s="1"/>
      <c r="E850" s="1"/>
    </row>
    <row r="851" spans="4:5" s="3" customFormat="1" x14ac:dyDescent="0.25">
      <c r="D851" s="1"/>
      <c r="E851" s="1"/>
    </row>
    <row r="852" spans="4:5" s="3" customFormat="1" x14ac:dyDescent="0.25">
      <c r="D852" s="1"/>
      <c r="E852" s="1"/>
    </row>
    <row r="853" spans="4:5" s="3" customFormat="1" x14ac:dyDescent="0.25">
      <c r="D853" s="1"/>
      <c r="E853" s="1"/>
    </row>
    <row r="854" spans="4:5" s="3" customFormat="1" x14ac:dyDescent="0.25">
      <c r="D854" s="1"/>
      <c r="E854" s="1"/>
    </row>
    <row r="855" spans="4:5" s="3" customFormat="1" x14ac:dyDescent="0.25">
      <c r="D855" s="1"/>
      <c r="E855" s="1"/>
    </row>
    <row r="856" spans="4:5" s="3" customFormat="1" x14ac:dyDescent="0.25">
      <c r="D856" s="1"/>
      <c r="E856" s="1"/>
    </row>
    <row r="857" spans="4:5" s="3" customFormat="1" x14ac:dyDescent="0.25">
      <c r="D857" s="1"/>
      <c r="E857" s="1"/>
    </row>
    <row r="858" spans="4:5" s="3" customFormat="1" x14ac:dyDescent="0.25">
      <c r="D858" s="1"/>
      <c r="E858" s="1"/>
    </row>
    <row r="859" spans="4:5" s="3" customFormat="1" x14ac:dyDescent="0.25">
      <c r="D859" s="1"/>
      <c r="E859" s="1"/>
    </row>
    <row r="860" spans="4:5" s="3" customFormat="1" x14ac:dyDescent="0.25">
      <c r="D860" s="1"/>
      <c r="E860" s="1"/>
    </row>
    <row r="861" spans="4:5" s="3" customFormat="1" x14ac:dyDescent="0.25">
      <c r="D861" s="1"/>
      <c r="E861" s="1"/>
    </row>
    <row r="862" spans="4:5" s="3" customFormat="1" x14ac:dyDescent="0.25">
      <c r="D862" s="1"/>
      <c r="E862" s="1"/>
    </row>
    <row r="863" spans="4:5" s="3" customFormat="1" x14ac:dyDescent="0.25">
      <c r="D863" s="1"/>
      <c r="E863" s="1"/>
    </row>
    <row r="864" spans="4:5" s="3" customFormat="1" x14ac:dyDescent="0.25">
      <c r="D864" s="1"/>
      <c r="E864" s="1"/>
    </row>
    <row r="865" spans="4:5" s="3" customFormat="1" x14ac:dyDescent="0.25">
      <c r="D865" s="1"/>
      <c r="E865" s="1"/>
    </row>
    <row r="866" spans="4:5" s="3" customFormat="1" x14ac:dyDescent="0.25">
      <c r="D866" s="1"/>
      <c r="E866" s="1"/>
    </row>
    <row r="867" spans="4:5" s="3" customFormat="1" x14ac:dyDescent="0.25">
      <c r="D867" s="1"/>
      <c r="E867" s="1"/>
    </row>
    <row r="868" spans="4:5" s="3" customFormat="1" x14ac:dyDescent="0.25">
      <c r="D868" s="1"/>
      <c r="E868" s="1"/>
    </row>
    <row r="869" spans="4:5" s="3" customFormat="1" x14ac:dyDescent="0.25">
      <c r="D869" s="1"/>
      <c r="E869" s="1"/>
    </row>
    <row r="870" spans="4:5" s="3" customFormat="1" x14ac:dyDescent="0.25">
      <c r="D870" s="1"/>
      <c r="E870" s="1"/>
    </row>
    <row r="871" spans="4:5" s="3" customFormat="1" x14ac:dyDescent="0.25">
      <c r="D871" s="1"/>
      <c r="E871" s="1"/>
    </row>
    <row r="872" spans="4:5" s="3" customFormat="1" x14ac:dyDescent="0.25">
      <c r="D872" s="1"/>
      <c r="E872" s="1"/>
    </row>
    <row r="873" spans="4:5" s="3" customFormat="1" x14ac:dyDescent="0.25">
      <c r="D873" s="1"/>
      <c r="E873" s="1"/>
    </row>
    <row r="874" spans="4:5" s="3" customFormat="1" x14ac:dyDescent="0.25">
      <c r="D874" s="1"/>
      <c r="E874" s="1"/>
    </row>
    <row r="875" spans="4:5" s="3" customFormat="1" x14ac:dyDescent="0.25">
      <c r="D875" s="1"/>
      <c r="E875" s="1"/>
    </row>
    <row r="876" spans="4:5" s="3" customFormat="1" x14ac:dyDescent="0.25">
      <c r="D876" s="1"/>
      <c r="E876" s="1"/>
    </row>
    <row r="877" spans="4:5" s="3" customFormat="1" x14ac:dyDescent="0.25">
      <c r="D877" s="1"/>
      <c r="E877" s="1"/>
    </row>
    <row r="878" spans="4:5" s="3" customFormat="1" x14ac:dyDescent="0.25">
      <c r="D878" s="1"/>
      <c r="E878" s="1"/>
    </row>
    <row r="879" spans="4:5" s="3" customFormat="1" x14ac:dyDescent="0.25">
      <c r="D879" s="1"/>
      <c r="E879" s="1"/>
    </row>
    <row r="880" spans="4:5" s="3" customFormat="1" x14ac:dyDescent="0.25">
      <c r="D880" s="1"/>
      <c r="E880" s="1"/>
    </row>
    <row r="881" spans="4:5" s="3" customFormat="1" x14ac:dyDescent="0.25">
      <c r="D881" s="1"/>
      <c r="E881" s="1"/>
    </row>
    <row r="882" spans="4:5" s="3" customFormat="1" x14ac:dyDescent="0.25">
      <c r="D882" s="1"/>
      <c r="E882" s="1"/>
    </row>
    <row r="883" spans="4:5" s="3" customFormat="1" x14ac:dyDescent="0.25">
      <c r="D883" s="1"/>
      <c r="E883" s="1"/>
    </row>
    <row r="884" spans="4:5" s="3" customFormat="1" x14ac:dyDescent="0.25">
      <c r="D884" s="1"/>
      <c r="E884" s="1"/>
    </row>
    <row r="885" spans="4:5" s="3" customFormat="1" x14ac:dyDescent="0.25">
      <c r="D885" s="1"/>
      <c r="E885" s="1"/>
    </row>
    <row r="886" spans="4:5" s="3" customFormat="1" x14ac:dyDescent="0.25">
      <c r="D886" s="1"/>
      <c r="E886" s="1"/>
    </row>
    <row r="887" spans="4:5" s="3" customFormat="1" x14ac:dyDescent="0.25">
      <c r="D887" s="1"/>
      <c r="E887" s="1"/>
    </row>
    <row r="888" spans="4:5" s="3" customFormat="1" x14ac:dyDescent="0.25">
      <c r="D888" s="1"/>
      <c r="E888" s="1"/>
    </row>
    <row r="889" spans="4:5" s="3" customFormat="1" x14ac:dyDescent="0.25">
      <c r="D889" s="1"/>
      <c r="E889" s="1"/>
    </row>
    <row r="890" spans="4:5" s="3" customFormat="1" x14ac:dyDescent="0.25">
      <c r="D890" s="1"/>
      <c r="E890" s="1"/>
    </row>
    <row r="891" spans="4:5" s="3" customFormat="1" x14ac:dyDescent="0.25">
      <c r="D891" s="1"/>
      <c r="E891" s="1"/>
    </row>
    <row r="892" spans="4:5" s="3" customFormat="1" x14ac:dyDescent="0.25">
      <c r="D892" s="1"/>
      <c r="E892" s="1"/>
    </row>
    <row r="893" spans="4:5" s="3" customFormat="1" x14ac:dyDescent="0.25">
      <c r="D893" s="1"/>
      <c r="E893" s="1"/>
    </row>
    <row r="894" spans="4:5" s="3" customFormat="1" x14ac:dyDescent="0.25">
      <c r="D894" s="1"/>
      <c r="E894" s="1"/>
    </row>
    <row r="895" spans="4:5" s="3" customFormat="1" x14ac:dyDescent="0.25">
      <c r="D895" s="1"/>
      <c r="E895" s="1"/>
    </row>
    <row r="896" spans="4:5" s="3" customFormat="1" x14ac:dyDescent="0.25">
      <c r="D896" s="1"/>
      <c r="E896" s="1"/>
    </row>
    <row r="897" spans="4:5" s="3" customFormat="1" x14ac:dyDescent="0.25">
      <c r="D897" s="1"/>
      <c r="E897" s="1"/>
    </row>
    <row r="898" spans="4:5" s="3" customFormat="1" x14ac:dyDescent="0.25">
      <c r="D898" s="1"/>
      <c r="E898" s="1"/>
    </row>
    <row r="899" spans="4:5" s="3" customFormat="1" x14ac:dyDescent="0.25">
      <c r="D899" s="1"/>
      <c r="E899" s="1"/>
    </row>
    <row r="900" spans="4:5" s="3" customFormat="1" x14ac:dyDescent="0.25">
      <c r="D900" s="1"/>
      <c r="E900" s="1"/>
    </row>
    <row r="901" spans="4:5" s="3" customFormat="1" x14ac:dyDescent="0.25">
      <c r="D901" s="1"/>
      <c r="E901" s="1"/>
    </row>
    <row r="902" spans="4:5" s="3" customFormat="1" x14ac:dyDescent="0.25">
      <c r="D902" s="1"/>
      <c r="E902" s="1"/>
    </row>
    <row r="903" spans="4:5" s="3" customFormat="1" x14ac:dyDescent="0.25">
      <c r="D903" s="1"/>
      <c r="E903" s="1"/>
    </row>
    <row r="904" spans="4:5" s="3" customFormat="1" x14ac:dyDescent="0.25">
      <c r="D904" s="1"/>
      <c r="E904" s="1"/>
    </row>
    <row r="905" spans="4:5" s="3" customFormat="1" x14ac:dyDescent="0.25">
      <c r="D905" s="1"/>
      <c r="E905" s="1"/>
    </row>
    <row r="906" spans="4:5" s="3" customFormat="1" x14ac:dyDescent="0.25">
      <c r="D906" s="1"/>
      <c r="E906" s="1"/>
    </row>
    <row r="907" spans="4:5" s="3" customFormat="1" x14ac:dyDescent="0.25">
      <c r="D907" s="1"/>
      <c r="E907" s="1"/>
    </row>
    <row r="908" spans="4:5" s="3" customFormat="1" x14ac:dyDescent="0.25">
      <c r="D908" s="1"/>
      <c r="E908" s="1"/>
    </row>
    <row r="909" spans="4:5" s="3" customFormat="1" x14ac:dyDescent="0.25">
      <c r="D909" s="1"/>
      <c r="E909" s="1"/>
    </row>
    <row r="910" spans="4:5" s="3" customFormat="1" x14ac:dyDescent="0.25">
      <c r="D910" s="1"/>
      <c r="E910" s="1"/>
    </row>
    <row r="911" spans="4:5" s="3" customFormat="1" x14ac:dyDescent="0.25">
      <c r="D911" s="1"/>
      <c r="E911" s="1"/>
    </row>
    <row r="912" spans="4:5" s="3" customFormat="1" x14ac:dyDescent="0.25">
      <c r="D912" s="1"/>
      <c r="E912" s="1"/>
    </row>
    <row r="913" spans="4:5" s="3" customFormat="1" x14ac:dyDescent="0.25">
      <c r="D913" s="1"/>
      <c r="E913" s="1"/>
    </row>
    <row r="914" spans="4:5" s="3" customFormat="1" x14ac:dyDescent="0.25">
      <c r="D914" s="1"/>
      <c r="E914" s="1"/>
    </row>
    <row r="915" spans="4:5" s="3" customFormat="1" x14ac:dyDescent="0.25">
      <c r="D915" s="1"/>
      <c r="E915" s="1"/>
    </row>
    <row r="916" spans="4:5" s="3" customFormat="1" x14ac:dyDescent="0.25">
      <c r="D916" s="1"/>
      <c r="E916" s="1"/>
    </row>
    <row r="917" spans="4:5" s="3" customFormat="1" x14ac:dyDescent="0.25">
      <c r="D917" s="1"/>
      <c r="E917" s="1"/>
    </row>
    <row r="918" spans="4:5" s="3" customFormat="1" x14ac:dyDescent="0.25">
      <c r="D918" s="1"/>
      <c r="E918" s="1"/>
    </row>
    <row r="919" spans="4:5" s="3" customFormat="1" x14ac:dyDescent="0.25">
      <c r="D919" s="1"/>
      <c r="E919" s="1"/>
    </row>
    <row r="920" spans="4:5" s="3" customFormat="1" x14ac:dyDescent="0.25">
      <c r="D920" s="1"/>
      <c r="E920" s="1"/>
    </row>
    <row r="921" spans="4:5" s="3" customFormat="1" x14ac:dyDescent="0.25">
      <c r="D921" s="1"/>
      <c r="E921" s="1"/>
    </row>
    <row r="922" spans="4:5" s="3" customFormat="1" x14ac:dyDescent="0.25">
      <c r="D922" s="1"/>
      <c r="E922" s="1"/>
    </row>
    <row r="923" spans="4:5" s="3" customFormat="1" x14ac:dyDescent="0.25">
      <c r="D923" s="1"/>
      <c r="E923" s="1"/>
    </row>
    <row r="924" spans="4:5" s="3" customFormat="1" x14ac:dyDescent="0.25">
      <c r="D924" s="1"/>
      <c r="E924" s="1"/>
    </row>
    <row r="925" spans="4:5" s="3" customFormat="1" x14ac:dyDescent="0.25">
      <c r="D925" s="1"/>
      <c r="E925" s="1"/>
    </row>
    <row r="926" spans="4:5" s="3" customFormat="1" x14ac:dyDescent="0.25">
      <c r="D926" s="1"/>
      <c r="E926" s="1"/>
    </row>
    <row r="927" spans="4:5" s="3" customFormat="1" x14ac:dyDescent="0.25">
      <c r="D927" s="1"/>
      <c r="E927" s="1"/>
    </row>
    <row r="928" spans="4:5" s="3" customFormat="1" x14ac:dyDescent="0.25">
      <c r="D928" s="1"/>
      <c r="E928" s="1"/>
    </row>
    <row r="929" spans="4:5" s="3" customFormat="1" x14ac:dyDescent="0.25">
      <c r="D929" s="1"/>
      <c r="E929" s="1"/>
    </row>
    <row r="930" spans="4:5" s="3" customFormat="1" x14ac:dyDescent="0.25">
      <c r="D930" s="1"/>
      <c r="E930" s="1"/>
    </row>
    <row r="931" spans="4:5" s="3" customFormat="1" x14ac:dyDescent="0.25">
      <c r="D931" s="1"/>
      <c r="E931" s="1"/>
    </row>
    <row r="932" spans="4:5" s="3" customFormat="1" x14ac:dyDescent="0.25">
      <c r="D932" s="1"/>
      <c r="E932" s="1"/>
    </row>
    <row r="933" spans="4:5" s="3" customFormat="1" x14ac:dyDescent="0.25">
      <c r="D933" s="1"/>
      <c r="E933" s="1"/>
    </row>
    <row r="934" spans="4:5" s="3" customFormat="1" x14ac:dyDescent="0.25">
      <c r="D934" s="1"/>
      <c r="E934" s="1"/>
    </row>
    <row r="935" spans="4:5" s="3" customFormat="1" x14ac:dyDescent="0.25">
      <c r="D935" s="1"/>
      <c r="E935" s="1"/>
    </row>
    <row r="936" spans="4:5" s="3" customFormat="1" x14ac:dyDescent="0.25">
      <c r="D936" s="1"/>
      <c r="E936" s="1"/>
    </row>
    <row r="937" spans="4:5" s="3" customFormat="1" x14ac:dyDescent="0.25">
      <c r="D937" s="1"/>
      <c r="E937" s="1"/>
    </row>
    <row r="938" spans="4:5" s="3" customFormat="1" x14ac:dyDescent="0.25">
      <c r="D938" s="1"/>
      <c r="E938" s="1"/>
    </row>
    <row r="939" spans="4:5" s="3" customFormat="1" x14ac:dyDescent="0.25">
      <c r="D939" s="1"/>
      <c r="E939" s="1"/>
    </row>
    <row r="940" spans="4:5" s="3" customFormat="1" x14ac:dyDescent="0.25">
      <c r="D940" s="1"/>
      <c r="E940" s="1"/>
    </row>
    <row r="941" spans="4:5" s="3" customFormat="1" x14ac:dyDescent="0.25">
      <c r="D941" s="1"/>
      <c r="E941" s="1"/>
    </row>
    <row r="942" spans="4:5" s="3" customFormat="1" x14ac:dyDescent="0.25">
      <c r="D942" s="1"/>
      <c r="E942" s="1"/>
    </row>
    <row r="943" spans="4:5" s="3" customFormat="1" x14ac:dyDescent="0.25">
      <c r="D943" s="1"/>
      <c r="E943" s="1"/>
    </row>
    <row r="944" spans="4:5" s="3" customFormat="1" x14ac:dyDescent="0.25">
      <c r="D944" s="1"/>
      <c r="E944" s="1"/>
    </row>
    <row r="945" spans="4:5" s="3" customFormat="1" x14ac:dyDescent="0.25">
      <c r="D945" s="1"/>
      <c r="E945" s="1"/>
    </row>
    <row r="946" spans="4:5" s="3" customFormat="1" x14ac:dyDescent="0.25">
      <c r="D946" s="1"/>
      <c r="E946" s="1"/>
    </row>
    <row r="947" spans="4:5" s="3" customFormat="1" x14ac:dyDescent="0.25">
      <c r="D947" s="1"/>
      <c r="E947" s="1"/>
    </row>
    <row r="948" spans="4:5" s="3" customFormat="1" x14ac:dyDescent="0.25">
      <c r="D948" s="1"/>
      <c r="E948" s="1"/>
    </row>
    <row r="949" spans="4:5" s="3" customFormat="1" x14ac:dyDescent="0.25">
      <c r="D949" s="1"/>
      <c r="E949" s="1"/>
    </row>
    <row r="950" spans="4:5" s="3" customFormat="1" x14ac:dyDescent="0.25">
      <c r="D950" s="1"/>
      <c r="E950" s="1"/>
    </row>
    <row r="951" spans="4:5" s="3" customFormat="1" x14ac:dyDescent="0.25">
      <c r="D951" s="1"/>
      <c r="E951" s="1"/>
    </row>
    <row r="952" spans="4:5" s="3" customFormat="1" x14ac:dyDescent="0.25">
      <c r="D952" s="1"/>
      <c r="E952" s="1"/>
    </row>
    <row r="953" spans="4:5" s="3" customFormat="1" x14ac:dyDescent="0.25">
      <c r="D953" s="1"/>
      <c r="E953" s="1"/>
    </row>
    <row r="954" spans="4:5" s="3" customFormat="1" x14ac:dyDescent="0.25">
      <c r="D954" s="1"/>
      <c r="E954" s="1"/>
    </row>
    <row r="955" spans="4:5" s="3" customFormat="1" x14ac:dyDescent="0.25">
      <c r="D955" s="1"/>
      <c r="E955" s="1"/>
    </row>
    <row r="956" spans="4:5" s="3" customFormat="1" x14ac:dyDescent="0.25">
      <c r="D956" s="1"/>
      <c r="E956" s="1"/>
    </row>
    <row r="957" spans="4:5" s="3" customFormat="1" x14ac:dyDescent="0.25">
      <c r="D957" s="1"/>
      <c r="E957" s="1"/>
    </row>
    <row r="958" spans="4:5" s="3" customFormat="1" x14ac:dyDescent="0.25">
      <c r="D958" s="1"/>
      <c r="E958" s="1"/>
    </row>
    <row r="959" spans="4:5" s="3" customFormat="1" x14ac:dyDescent="0.25">
      <c r="D959" s="1"/>
      <c r="E959" s="1"/>
    </row>
    <row r="960" spans="4:5" s="3" customFormat="1" x14ac:dyDescent="0.25">
      <c r="D960" s="1"/>
      <c r="E960" s="1"/>
    </row>
    <row r="961" spans="4:5" s="3" customFormat="1" x14ac:dyDescent="0.25">
      <c r="D961" s="1"/>
      <c r="E961" s="1"/>
    </row>
    <row r="962" spans="4:5" s="3" customFormat="1" x14ac:dyDescent="0.25">
      <c r="D962" s="1"/>
      <c r="E962" s="1"/>
    </row>
    <row r="963" spans="4:5" s="3" customFormat="1" x14ac:dyDescent="0.25">
      <c r="D963" s="1"/>
      <c r="E963" s="1"/>
    </row>
    <row r="964" spans="4:5" s="3" customFormat="1" x14ac:dyDescent="0.25">
      <c r="D964" s="1"/>
      <c r="E964" s="1"/>
    </row>
    <row r="965" spans="4:5" s="3" customFormat="1" x14ac:dyDescent="0.25">
      <c r="D965" s="1"/>
      <c r="E965" s="1"/>
    </row>
    <row r="966" spans="4:5" s="3" customFormat="1" x14ac:dyDescent="0.25">
      <c r="D966" s="1"/>
      <c r="E966" s="1"/>
    </row>
    <row r="967" spans="4:5" s="3" customFormat="1" x14ac:dyDescent="0.25">
      <c r="D967" s="1"/>
      <c r="E967" s="1"/>
    </row>
    <row r="968" spans="4:5" s="3" customFormat="1" x14ac:dyDescent="0.25">
      <c r="D968" s="1"/>
      <c r="E968" s="1"/>
    </row>
    <row r="969" spans="4:5" s="3" customFormat="1" x14ac:dyDescent="0.25">
      <c r="D969" s="1"/>
      <c r="E969" s="1"/>
    </row>
    <row r="970" spans="4:5" s="3" customFormat="1" x14ac:dyDescent="0.25">
      <c r="D970" s="1"/>
      <c r="E970" s="1"/>
    </row>
    <row r="971" spans="4:5" s="3" customFormat="1" x14ac:dyDescent="0.25">
      <c r="D971" s="1"/>
      <c r="E971" s="1"/>
    </row>
    <row r="972" spans="4:5" s="3" customFormat="1" x14ac:dyDescent="0.25">
      <c r="D972" s="1"/>
      <c r="E972" s="1"/>
    </row>
    <row r="973" spans="4:5" s="3" customFormat="1" x14ac:dyDescent="0.25">
      <c r="D973" s="1"/>
      <c r="E973" s="1"/>
    </row>
    <row r="974" spans="4:5" s="3" customFormat="1" x14ac:dyDescent="0.25">
      <c r="D974" s="1"/>
      <c r="E974" s="1"/>
    </row>
    <row r="975" spans="4:5" s="3" customFormat="1" x14ac:dyDescent="0.25">
      <c r="D975" s="1"/>
      <c r="E975" s="1"/>
    </row>
    <row r="976" spans="4:5" s="3" customFormat="1" x14ac:dyDescent="0.25">
      <c r="D976" s="1"/>
      <c r="E976" s="1"/>
    </row>
    <row r="977" spans="4:5" s="3" customFormat="1" x14ac:dyDescent="0.25">
      <c r="D977" s="1"/>
      <c r="E977" s="1"/>
    </row>
    <row r="978" spans="4:5" s="3" customFormat="1" x14ac:dyDescent="0.25">
      <c r="D978" s="1"/>
      <c r="E978" s="1"/>
    </row>
    <row r="979" spans="4:5" s="3" customFormat="1" x14ac:dyDescent="0.25">
      <c r="D979" s="1"/>
      <c r="E979" s="1"/>
    </row>
    <row r="980" spans="4:5" s="3" customFormat="1" x14ac:dyDescent="0.25">
      <c r="D980" s="1"/>
      <c r="E980" s="1"/>
    </row>
    <row r="981" spans="4:5" s="3" customFormat="1" x14ac:dyDescent="0.25">
      <c r="D981" s="1"/>
      <c r="E981" s="1"/>
    </row>
    <row r="982" spans="4:5" s="3" customFormat="1" x14ac:dyDescent="0.25">
      <c r="D982" s="1"/>
      <c r="E982" s="1"/>
    </row>
    <row r="983" spans="4:5" s="3" customFormat="1" x14ac:dyDescent="0.25">
      <c r="D983" s="1"/>
      <c r="E983" s="1"/>
    </row>
    <row r="984" spans="4:5" s="3" customFormat="1" x14ac:dyDescent="0.25">
      <c r="D984" s="1"/>
      <c r="E984" s="1"/>
    </row>
    <row r="985" spans="4:5" s="3" customFormat="1" x14ac:dyDescent="0.25">
      <c r="D985" s="1"/>
      <c r="E985" s="1"/>
    </row>
    <row r="986" spans="4:5" s="3" customFormat="1" x14ac:dyDescent="0.25">
      <c r="D986" s="1"/>
      <c r="E986" s="1"/>
    </row>
    <row r="987" spans="4:5" s="3" customFormat="1" x14ac:dyDescent="0.25">
      <c r="D987" s="1"/>
      <c r="E987" s="1"/>
    </row>
    <row r="988" spans="4:5" s="3" customFormat="1" x14ac:dyDescent="0.25">
      <c r="D988" s="1"/>
      <c r="E988" s="1"/>
    </row>
    <row r="989" spans="4:5" s="3" customFormat="1" x14ac:dyDescent="0.25">
      <c r="D989" s="1"/>
      <c r="E989" s="1"/>
    </row>
    <row r="990" spans="4:5" s="3" customFormat="1" x14ac:dyDescent="0.25">
      <c r="D990" s="1"/>
      <c r="E990" s="1"/>
    </row>
    <row r="991" spans="4:5" s="3" customFormat="1" x14ac:dyDescent="0.25">
      <c r="D991" s="1"/>
      <c r="E991" s="1"/>
    </row>
    <row r="992" spans="4:5" s="3" customFormat="1" x14ac:dyDescent="0.25">
      <c r="D992" s="1"/>
      <c r="E992" s="1"/>
    </row>
    <row r="993" spans="4:5" s="3" customFormat="1" x14ac:dyDescent="0.25">
      <c r="D993" s="1"/>
      <c r="E993" s="1"/>
    </row>
    <row r="994" spans="4:5" s="3" customFormat="1" x14ac:dyDescent="0.25">
      <c r="D994" s="1"/>
      <c r="E994" s="1"/>
    </row>
    <row r="995" spans="4:5" s="3" customFormat="1" x14ac:dyDescent="0.25">
      <c r="D995" s="1"/>
      <c r="E995" s="1"/>
    </row>
    <row r="996" spans="4:5" s="3" customFormat="1" x14ac:dyDescent="0.25">
      <c r="D996" s="1"/>
      <c r="E996" s="1"/>
    </row>
    <row r="997" spans="4:5" s="3" customFormat="1" x14ac:dyDescent="0.25">
      <c r="D997" s="1"/>
      <c r="E997" s="1"/>
    </row>
    <row r="998" spans="4:5" s="3" customFormat="1" x14ac:dyDescent="0.25">
      <c r="D998" s="1"/>
      <c r="E998" s="1"/>
    </row>
    <row r="999" spans="4:5" s="3" customFormat="1" x14ac:dyDescent="0.25">
      <c r="D999" s="1"/>
      <c r="E999" s="1"/>
    </row>
    <row r="1000" spans="4:5" s="3" customFormat="1" x14ac:dyDescent="0.25">
      <c r="D1000" s="1"/>
      <c r="E1000" s="1"/>
    </row>
    <row r="1001" spans="4:5" s="3" customFormat="1" x14ac:dyDescent="0.25">
      <c r="D1001" s="1"/>
      <c r="E1001" s="1"/>
    </row>
    <row r="1002" spans="4:5" s="3" customFormat="1" x14ac:dyDescent="0.25">
      <c r="D1002" s="1"/>
      <c r="E1002" s="1"/>
    </row>
    <row r="1003" spans="4:5" s="3" customFormat="1" x14ac:dyDescent="0.25">
      <c r="D1003" s="1"/>
      <c r="E1003" s="1"/>
    </row>
    <row r="1004" spans="4:5" s="3" customFormat="1" x14ac:dyDescent="0.25">
      <c r="D1004" s="1"/>
      <c r="E1004" s="1"/>
    </row>
    <row r="1005" spans="4:5" s="3" customFormat="1" x14ac:dyDescent="0.25">
      <c r="D1005" s="1"/>
      <c r="E1005" s="1"/>
    </row>
    <row r="1006" spans="4:5" s="3" customFormat="1" x14ac:dyDescent="0.25">
      <c r="D1006" s="1"/>
      <c r="E1006" s="1"/>
    </row>
    <row r="1007" spans="4:5" s="3" customFormat="1" x14ac:dyDescent="0.25">
      <c r="D1007" s="1"/>
      <c r="E1007" s="1"/>
    </row>
    <row r="1008" spans="4:5" s="3" customFormat="1" x14ac:dyDescent="0.25">
      <c r="D1008" s="1"/>
      <c r="E1008" s="1"/>
    </row>
    <row r="1009" spans="4:5" s="3" customFormat="1" x14ac:dyDescent="0.25">
      <c r="D1009" s="1"/>
      <c r="E1009" s="1"/>
    </row>
    <row r="1010" spans="4:5" s="3" customFormat="1" x14ac:dyDescent="0.25">
      <c r="D1010" s="1"/>
      <c r="E1010" s="1"/>
    </row>
    <row r="1011" spans="4:5" s="3" customFormat="1" x14ac:dyDescent="0.25">
      <c r="D1011" s="1"/>
      <c r="E1011" s="1"/>
    </row>
    <row r="1012" spans="4:5" s="3" customFormat="1" x14ac:dyDescent="0.25">
      <c r="D1012" s="1"/>
      <c r="E1012" s="1"/>
    </row>
    <row r="1013" spans="4:5" s="3" customFormat="1" x14ac:dyDescent="0.25">
      <c r="D1013" s="1"/>
      <c r="E1013" s="1"/>
    </row>
    <row r="1014" spans="4:5" s="3" customFormat="1" x14ac:dyDescent="0.25">
      <c r="D1014" s="1"/>
      <c r="E1014" s="1"/>
    </row>
    <row r="1015" spans="4:5" s="3" customFormat="1" x14ac:dyDescent="0.25">
      <c r="D1015" s="1"/>
      <c r="E1015" s="1"/>
    </row>
    <row r="1016" spans="4:5" s="3" customFormat="1" x14ac:dyDescent="0.25">
      <c r="D1016" s="1"/>
      <c r="E1016" s="1"/>
    </row>
    <row r="1017" spans="4:5" s="3" customFormat="1" x14ac:dyDescent="0.25">
      <c r="D1017" s="1"/>
      <c r="E1017" s="1"/>
    </row>
    <row r="1018" spans="4:5" s="3" customFormat="1" x14ac:dyDescent="0.25">
      <c r="D1018" s="1"/>
      <c r="E1018" s="1"/>
    </row>
    <row r="1019" spans="4:5" s="3" customFormat="1" x14ac:dyDescent="0.25">
      <c r="D1019" s="1"/>
      <c r="E1019" s="1"/>
    </row>
    <row r="1020" spans="4:5" s="3" customFormat="1" x14ac:dyDescent="0.25">
      <c r="D1020" s="1"/>
      <c r="E1020" s="1"/>
    </row>
    <row r="1021" spans="4:5" s="3" customFormat="1" x14ac:dyDescent="0.25">
      <c r="D1021" s="1"/>
      <c r="E1021" s="1"/>
    </row>
    <row r="1022" spans="4:5" s="3" customFormat="1" x14ac:dyDescent="0.25">
      <c r="D1022" s="1"/>
      <c r="E1022" s="1"/>
    </row>
    <row r="1023" spans="4:5" s="3" customFormat="1" x14ac:dyDescent="0.25">
      <c r="D1023" s="1"/>
      <c r="E1023" s="1"/>
    </row>
    <row r="1024" spans="4:5" s="3" customFormat="1" x14ac:dyDescent="0.25">
      <c r="D1024" s="1"/>
      <c r="E1024" s="1"/>
    </row>
    <row r="1025" spans="4:5" s="3" customFormat="1" x14ac:dyDescent="0.25">
      <c r="D1025" s="1"/>
      <c r="E1025" s="1"/>
    </row>
    <row r="1026" spans="4:5" s="3" customFormat="1" x14ac:dyDescent="0.25">
      <c r="D1026" s="1"/>
      <c r="E1026" s="1"/>
    </row>
    <row r="1027" spans="4:5" s="3" customFormat="1" x14ac:dyDescent="0.25">
      <c r="D1027" s="1"/>
      <c r="E1027" s="1"/>
    </row>
    <row r="1028" spans="4:5" s="3" customFormat="1" x14ac:dyDescent="0.25">
      <c r="D1028" s="1"/>
      <c r="E1028" s="1"/>
    </row>
    <row r="1029" spans="4:5" s="3" customFormat="1" x14ac:dyDescent="0.25">
      <c r="D1029" s="1"/>
      <c r="E1029" s="1"/>
    </row>
    <row r="1030" spans="4:5" s="3" customFormat="1" x14ac:dyDescent="0.25">
      <c r="D1030" s="1"/>
      <c r="E1030" s="1"/>
    </row>
    <row r="1031" spans="4:5" s="3" customFormat="1" x14ac:dyDescent="0.25">
      <c r="D1031" s="1"/>
      <c r="E1031" s="1"/>
    </row>
    <row r="1032" spans="4:5" s="3" customFormat="1" x14ac:dyDescent="0.25">
      <c r="D1032" s="1"/>
      <c r="E1032" s="1"/>
    </row>
    <row r="1033" spans="4:5" s="3" customFormat="1" x14ac:dyDescent="0.25">
      <c r="D1033" s="1"/>
      <c r="E1033" s="1"/>
    </row>
    <row r="1034" spans="4:5" s="3" customFormat="1" x14ac:dyDescent="0.25">
      <c r="D1034" s="1"/>
      <c r="E1034" s="1"/>
    </row>
    <row r="1035" spans="4:5" s="3" customFormat="1" x14ac:dyDescent="0.25">
      <c r="D1035" s="1"/>
      <c r="E1035" s="1"/>
    </row>
    <row r="1036" spans="4:5" s="3" customFormat="1" x14ac:dyDescent="0.25">
      <c r="D1036" s="1"/>
      <c r="E1036" s="1"/>
    </row>
    <row r="1037" spans="4:5" s="3" customFormat="1" x14ac:dyDescent="0.25">
      <c r="D1037" s="1"/>
      <c r="E1037" s="1"/>
    </row>
    <row r="1038" spans="4:5" s="3" customFormat="1" x14ac:dyDescent="0.25">
      <c r="D1038" s="1"/>
      <c r="E1038" s="1"/>
    </row>
    <row r="1039" spans="4:5" s="3" customFormat="1" x14ac:dyDescent="0.25">
      <c r="D1039" s="1"/>
      <c r="E1039" s="1"/>
    </row>
    <row r="1040" spans="4:5" s="3" customFormat="1" x14ac:dyDescent="0.25">
      <c r="D1040" s="1"/>
      <c r="E1040" s="1"/>
    </row>
    <row r="1041" spans="4:5" s="3" customFormat="1" x14ac:dyDescent="0.25">
      <c r="D1041" s="1"/>
      <c r="E1041" s="1"/>
    </row>
    <row r="1042" spans="4:5" s="3" customFormat="1" x14ac:dyDescent="0.25">
      <c r="D1042" s="1"/>
      <c r="E1042" s="1"/>
    </row>
    <row r="1043" spans="4:5" s="3" customFormat="1" x14ac:dyDescent="0.25">
      <c r="D1043" s="1"/>
      <c r="E1043" s="1"/>
    </row>
    <row r="1044" spans="4:5" s="3" customFormat="1" x14ac:dyDescent="0.25">
      <c r="D1044" s="1"/>
      <c r="E1044" s="1"/>
    </row>
    <row r="1045" spans="4:5" s="3" customFormat="1" x14ac:dyDescent="0.25">
      <c r="D1045" s="1"/>
      <c r="E1045" s="1"/>
    </row>
    <row r="1046" spans="4:5" s="3" customFormat="1" x14ac:dyDescent="0.25">
      <c r="D1046" s="1"/>
      <c r="E1046" s="1"/>
    </row>
    <row r="1047" spans="4:5" s="3" customFormat="1" x14ac:dyDescent="0.25">
      <c r="D1047" s="1"/>
      <c r="E1047" s="1"/>
    </row>
    <row r="1048" spans="4:5" s="3" customFormat="1" x14ac:dyDescent="0.25">
      <c r="D1048" s="1"/>
      <c r="E1048" s="1"/>
    </row>
    <row r="1049" spans="4:5" s="3" customFormat="1" x14ac:dyDescent="0.25">
      <c r="D1049" s="1"/>
      <c r="E1049" s="1"/>
    </row>
    <row r="1050" spans="4:5" s="3" customFormat="1" x14ac:dyDescent="0.25">
      <c r="D1050" s="1"/>
      <c r="E1050" s="1"/>
    </row>
    <row r="1051" spans="4:5" s="3" customFormat="1" x14ac:dyDescent="0.25">
      <c r="D1051" s="1"/>
      <c r="E1051" s="1"/>
    </row>
    <row r="1052" spans="4:5" s="3" customFormat="1" x14ac:dyDescent="0.25">
      <c r="D1052" s="1"/>
      <c r="E1052" s="1"/>
    </row>
    <row r="1053" spans="4:5" s="3" customFormat="1" x14ac:dyDescent="0.25">
      <c r="D1053" s="1"/>
      <c r="E1053" s="1"/>
    </row>
    <row r="1054" spans="4:5" s="3" customFormat="1" x14ac:dyDescent="0.25">
      <c r="D1054" s="1"/>
      <c r="E1054" s="1"/>
    </row>
    <row r="1055" spans="4:5" s="3" customFormat="1" x14ac:dyDescent="0.25">
      <c r="D1055" s="1"/>
      <c r="E1055" s="1"/>
    </row>
    <row r="1056" spans="4:5" s="3" customFormat="1" x14ac:dyDescent="0.25">
      <c r="D1056" s="1"/>
      <c r="E1056" s="1"/>
    </row>
    <row r="1057" spans="4:5" s="3" customFormat="1" x14ac:dyDescent="0.25">
      <c r="D1057" s="1"/>
      <c r="E1057" s="1"/>
    </row>
    <row r="1058" spans="4:5" s="3" customFormat="1" x14ac:dyDescent="0.25">
      <c r="D1058" s="1"/>
      <c r="E1058" s="1"/>
    </row>
    <row r="1059" spans="4:5" s="3" customFormat="1" x14ac:dyDescent="0.25">
      <c r="D1059" s="1"/>
      <c r="E1059" s="1"/>
    </row>
    <row r="1060" spans="4:5" s="3" customFormat="1" x14ac:dyDescent="0.25">
      <c r="D1060" s="1"/>
      <c r="E1060" s="1"/>
    </row>
    <row r="1061" spans="4:5" s="3" customFormat="1" x14ac:dyDescent="0.25">
      <c r="D1061" s="1"/>
      <c r="E1061" s="1"/>
    </row>
    <row r="1062" spans="4:5" s="3" customFormat="1" x14ac:dyDescent="0.25">
      <c r="D1062" s="1"/>
      <c r="E1062" s="1"/>
    </row>
    <row r="1063" spans="4:5" s="3" customFormat="1" x14ac:dyDescent="0.25">
      <c r="D1063" s="1"/>
      <c r="E1063" s="1"/>
    </row>
    <row r="1064" spans="4:5" s="3" customFormat="1" x14ac:dyDescent="0.25">
      <c r="D1064" s="1"/>
      <c r="E1064" s="1"/>
    </row>
    <row r="1065" spans="4:5" s="3" customFormat="1" x14ac:dyDescent="0.25">
      <c r="D1065" s="1"/>
      <c r="E1065" s="1"/>
    </row>
    <row r="1066" spans="4:5" s="3" customFormat="1" x14ac:dyDescent="0.25">
      <c r="D1066" s="1"/>
      <c r="E1066" s="1"/>
    </row>
    <row r="1067" spans="4:5" s="3" customFormat="1" x14ac:dyDescent="0.25">
      <c r="D1067" s="1"/>
      <c r="E1067" s="1"/>
    </row>
    <row r="1068" spans="4:5" s="3" customFormat="1" x14ac:dyDescent="0.25">
      <c r="D1068" s="1"/>
      <c r="E1068" s="1"/>
    </row>
    <row r="1069" spans="4:5" s="3" customFormat="1" x14ac:dyDescent="0.25">
      <c r="D1069" s="1"/>
      <c r="E1069" s="1"/>
    </row>
    <row r="1070" spans="4:5" s="3" customFormat="1" x14ac:dyDescent="0.25">
      <c r="D1070" s="1"/>
      <c r="E1070" s="1"/>
    </row>
    <row r="1071" spans="4:5" s="3" customFormat="1" x14ac:dyDescent="0.25">
      <c r="D1071" s="1"/>
      <c r="E1071" s="1"/>
    </row>
    <row r="1072" spans="4:5" s="3" customFormat="1" x14ac:dyDescent="0.25">
      <c r="D1072" s="1"/>
      <c r="E1072" s="1"/>
    </row>
    <row r="1073" spans="4:5" s="3" customFormat="1" x14ac:dyDescent="0.25">
      <c r="D1073" s="1"/>
      <c r="E1073" s="1"/>
    </row>
    <row r="1074" spans="4:5" s="3" customFormat="1" x14ac:dyDescent="0.25">
      <c r="D1074" s="1"/>
      <c r="E1074" s="1"/>
    </row>
    <row r="1075" spans="4:5" s="3" customFormat="1" x14ac:dyDescent="0.25">
      <c r="D1075" s="1"/>
      <c r="E1075" s="1"/>
    </row>
    <row r="1076" spans="4:5" s="3" customFormat="1" x14ac:dyDescent="0.25">
      <c r="D1076" s="1"/>
      <c r="E1076" s="1"/>
    </row>
    <row r="1077" spans="4:5" s="3" customFormat="1" x14ac:dyDescent="0.25">
      <c r="D1077" s="1"/>
      <c r="E1077" s="1"/>
    </row>
    <row r="1078" spans="4:5" s="3" customFormat="1" x14ac:dyDescent="0.25">
      <c r="D1078" s="1"/>
      <c r="E1078" s="1"/>
    </row>
    <row r="1079" spans="4:5" s="3" customFormat="1" x14ac:dyDescent="0.25">
      <c r="D1079" s="1"/>
      <c r="E1079" s="1"/>
    </row>
    <row r="1080" spans="4:5" s="3" customFormat="1" x14ac:dyDescent="0.25">
      <c r="D1080" s="1"/>
      <c r="E1080" s="1"/>
    </row>
    <row r="1081" spans="4:5" s="3" customFormat="1" x14ac:dyDescent="0.25">
      <c r="D1081" s="1"/>
      <c r="E1081" s="1"/>
    </row>
    <row r="1082" spans="4:5" s="3" customFormat="1" x14ac:dyDescent="0.25">
      <c r="D1082" s="1"/>
      <c r="E1082" s="1"/>
    </row>
    <row r="1083" spans="4:5" s="3" customFormat="1" x14ac:dyDescent="0.25">
      <c r="D1083" s="1"/>
      <c r="E1083" s="1"/>
    </row>
    <row r="1084" spans="4:5" s="3" customFormat="1" x14ac:dyDescent="0.25">
      <c r="D1084" s="1"/>
      <c r="E1084" s="1"/>
    </row>
    <row r="1085" spans="4:5" s="3" customFormat="1" x14ac:dyDescent="0.25">
      <c r="D1085" s="1"/>
      <c r="E1085" s="1"/>
    </row>
    <row r="1086" spans="4:5" s="3" customFormat="1" x14ac:dyDescent="0.25">
      <c r="D1086" s="1"/>
      <c r="E1086" s="1"/>
    </row>
    <row r="1087" spans="4:5" s="3" customFormat="1" x14ac:dyDescent="0.25">
      <c r="D1087" s="1"/>
      <c r="E1087" s="1"/>
    </row>
    <row r="1088" spans="4:5" s="3" customFormat="1" x14ac:dyDescent="0.25">
      <c r="D1088" s="1"/>
      <c r="E1088" s="1"/>
    </row>
    <row r="1089" spans="4:5" s="3" customFormat="1" x14ac:dyDescent="0.25">
      <c r="D1089" s="1"/>
      <c r="E1089" s="1"/>
    </row>
    <row r="1090" spans="4:5" s="3" customFormat="1" x14ac:dyDescent="0.25">
      <c r="D1090" s="1"/>
      <c r="E1090" s="1"/>
    </row>
    <row r="1091" spans="4:5" s="3" customFormat="1" x14ac:dyDescent="0.25">
      <c r="D1091" s="1"/>
      <c r="E1091" s="1"/>
    </row>
    <row r="1092" spans="4:5" s="3" customFormat="1" x14ac:dyDescent="0.25">
      <c r="D1092" s="1"/>
      <c r="E1092" s="1"/>
    </row>
    <row r="1093" spans="4:5" s="3" customFormat="1" x14ac:dyDescent="0.25">
      <c r="D1093" s="1"/>
      <c r="E1093" s="1"/>
    </row>
    <row r="1094" spans="4:5" s="3" customFormat="1" x14ac:dyDescent="0.25">
      <c r="D1094" s="1"/>
      <c r="E1094" s="1"/>
    </row>
    <row r="1095" spans="4:5" s="3" customFormat="1" x14ac:dyDescent="0.25">
      <c r="D1095" s="1"/>
      <c r="E1095" s="1"/>
    </row>
    <row r="1096" spans="4:5" s="3" customFormat="1" x14ac:dyDescent="0.25">
      <c r="D1096" s="1"/>
      <c r="E1096" s="1"/>
    </row>
    <row r="1097" spans="4:5" s="3" customFormat="1" x14ac:dyDescent="0.25">
      <c r="D1097" s="1"/>
      <c r="E1097" s="1"/>
    </row>
    <row r="1098" spans="4:5" s="3" customFormat="1" x14ac:dyDescent="0.25">
      <c r="D1098" s="1"/>
      <c r="E1098" s="1"/>
    </row>
    <row r="1099" spans="4:5" s="3" customFormat="1" x14ac:dyDescent="0.25">
      <c r="D1099" s="1"/>
      <c r="E1099" s="1"/>
    </row>
    <row r="1100" spans="4:5" s="3" customFormat="1" x14ac:dyDescent="0.25">
      <c r="D1100" s="1"/>
      <c r="E1100" s="1"/>
    </row>
    <row r="1101" spans="4:5" s="3" customFormat="1" x14ac:dyDescent="0.25">
      <c r="D1101" s="1"/>
      <c r="E1101" s="1"/>
    </row>
    <row r="1102" spans="4:5" s="3" customFormat="1" x14ac:dyDescent="0.25">
      <c r="D1102" s="1"/>
      <c r="E1102" s="1"/>
    </row>
    <row r="1103" spans="4:5" s="3" customFormat="1" x14ac:dyDescent="0.25">
      <c r="D1103" s="1"/>
      <c r="E1103" s="1"/>
    </row>
    <row r="1104" spans="4:5" s="3" customFormat="1" x14ac:dyDescent="0.25">
      <c r="D1104" s="1"/>
      <c r="E1104" s="1"/>
    </row>
    <row r="1105" spans="4:5" s="3" customFormat="1" x14ac:dyDescent="0.25">
      <c r="D1105" s="1"/>
      <c r="E1105" s="1"/>
    </row>
    <row r="1106" spans="4:5" s="3" customFormat="1" x14ac:dyDescent="0.25">
      <c r="D1106" s="1"/>
      <c r="E1106" s="1"/>
    </row>
    <row r="1107" spans="4:5" s="3" customFormat="1" x14ac:dyDescent="0.25">
      <c r="D1107" s="1"/>
      <c r="E1107" s="1"/>
    </row>
    <row r="1108" spans="4:5" s="3" customFormat="1" x14ac:dyDescent="0.25">
      <c r="D1108" s="1"/>
      <c r="E1108" s="1"/>
    </row>
    <row r="1109" spans="4:5" s="3" customFormat="1" x14ac:dyDescent="0.25">
      <c r="D1109" s="1"/>
      <c r="E1109" s="1"/>
    </row>
    <row r="1110" spans="4:5" s="3" customFormat="1" x14ac:dyDescent="0.25">
      <c r="D1110" s="1"/>
      <c r="E1110" s="1"/>
    </row>
    <row r="1111" spans="4:5" s="3" customFormat="1" x14ac:dyDescent="0.25">
      <c r="D1111" s="1"/>
      <c r="E1111" s="1"/>
    </row>
    <row r="1112" spans="4:5" s="3" customFormat="1" x14ac:dyDescent="0.25">
      <c r="D1112" s="1"/>
      <c r="E1112" s="1"/>
    </row>
    <row r="1113" spans="4:5" s="3" customFormat="1" x14ac:dyDescent="0.25">
      <c r="D1113" s="1"/>
      <c r="E1113" s="1"/>
    </row>
    <row r="1114" spans="4:5" s="3" customFormat="1" x14ac:dyDescent="0.25">
      <c r="D1114" s="1"/>
      <c r="E1114" s="1"/>
    </row>
    <row r="1115" spans="4:5" s="3" customFormat="1" x14ac:dyDescent="0.25">
      <c r="D1115" s="1"/>
      <c r="E1115" s="1"/>
    </row>
    <row r="1116" spans="4:5" s="3" customFormat="1" x14ac:dyDescent="0.25">
      <c r="D1116" s="1"/>
      <c r="E1116" s="1"/>
    </row>
    <row r="1117" spans="4:5" s="3" customFormat="1" x14ac:dyDescent="0.25">
      <c r="D1117" s="1"/>
      <c r="E1117" s="1"/>
    </row>
    <row r="1118" spans="4:5" s="3" customFormat="1" x14ac:dyDescent="0.25">
      <c r="D1118" s="1"/>
      <c r="E1118" s="1"/>
    </row>
    <row r="1119" spans="4:5" s="3" customFormat="1" x14ac:dyDescent="0.25">
      <c r="D1119" s="1"/>
      <c r="E1119" s="1"/>
    </row>
    <row r="1120" spans="4:5" s="3" customFormat="1" x14ac:dyDescent="0.25">
      <c r="D1120" s="1"/>
      <c r="E1120" s="1"/>
    </row>
    <row r="1121" spans="4:5" s="3" customFormat="1" x14ac:dyDescent="0.25">
      <c r="D1121" s="1"/>
      <c r="E1121" s="1"/>
    </row>
    <row r="1122" spans="4:5" s="3" customFormat="1" x14ac:dyDescent="0.25">
      <c r="D1122" s="1"/>
      <c r="E1122" s="1"/>
    </row>
    <row r="1123" spans="4:5" s="3" customFormat="1" x14ac:dyDescent="0.25">
      <c r="D1123" s="1"/>
      <c r="E1123" s="1"/>
    </row>
    <row r="1124" spans="4:5" s="3" customFormat="1" x14ac:dyDescent="0.25">
      <c r="D1124" s="1"/>
      <c r="E1124" s="1"/>
    </row>
    <row r="1125" spans="4:5" s="3" customFormat="1" x14ac:dyDescent="0.25">
      <c r="D1125" s="1"/>
      <c r="E1125" s="1"/>
    </row>
    <row r="1126" spans="4:5" s="3" customFormat="1" x14ac:dyDescent="0.25">
      <c r="D1126" s="1"/>
      <c r="E1126" s="1"/>
    </row>
    <row r="1127" spans="4:5" s="3" customFormat="1" x14ac:dyDescent="0.25">
      <c r="D1127" s="1"/>
      <c r="E1127" s="1"/>
    </row>
    <row r="1128" spans="4:5" s="3" customFormat="1" x14ac:dyDescent="0.25">
      <c r="D1128" s="1"/>
      <c r="E1128" s="1"/>
    </row>
    <row r="1129" spans="4:5" s="3" customFormat="1" x14ac:dyDescent="0.25">
      <c r="D1129" s="1"/>
      <c r="E1129" s="1"/>
    </row>
    <row r="1130" spans="4:5" s="3" customFormat="1" x14ac:dyDescent="0.25">
      <c r="D1130" s="1"/>
      <c r="E1130" s="1"/>
    </row>
    <row r="1131" spans="4:5" s="3" customFormat="1" x14ac:dyDescent="0.25">
      <c r="D1131" s="1"/>
      <c r="E1131" s="1"/>
    </row>
    <row r="1132" spans="4:5" s="3" customFormat="1" x14ac:dyDescent="0.25">
      <c r="D1132" s="1"/>
      <c r="E1132" s="1"/>
    </row>
    <row r="1133" spans="4:5" s="3" customFormat="1" x14ac:dyDescent="0.25">
      <c r="D1133" s="1"/>
      <c r="E1133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K88"/>
  <sheetViews>
    <sheetView showGridLines="0" topLeftCell="A44" zoomScale="84" zoomScaleNormal="84" workbookViewId="0">
      <selection activeCell="G83" sqref="G83"/>
    </sheetView>
  </sheetViews>
  <sheetFormatPr baseColWidth="10" defaultRowHeight="12.5" x14ac:dyDescent="0.25"/>
  <cols>
    <col min="1" max="1" width="9.81640625" customWidth="1"/>
    <col min="2" max="2" width="31.54296875" customWidth="1"/>
    <col min="3" max="3" width="3.6328125" customWidth="1"/>
    <col min="4" max="27" width="11.81640625" customWidth="1"/>
  </cols>
  <sheetData>
    <row r="1" spans="1:115" s="6" customFormat="1" ht="25" customHeight="1" x14ac:dyDescent="0.25">
      <c r="A1" s="535" t="s">
        <v>126</v>
      </c>
      <c r="B1" s="535"/>
      <c r="C1" s="55"/>
      <c r="D1" s="28"/>
      <c r="E1" s="35"/>
      <c r="G1" s="3"/>
      <c r="H1" s="3"/>
      <c r="I1" s="3"/>
      <c r="J1" s="3"/>
      <c r="K1" s="5"/>
      <c r="L1" s="3"/>
      <c r="M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15" s="3" customFormat="1" ht="12.75" customHeight="1" thickBot="1" x14ac:dyDescent="0.3">
      <c r="A2" s="264"/>
      <c r="B2" s="264"/>
      <c r="C2" s="164"/>
      <c r="D2" s="28"/>
      <c r="E2" s="165"/>
      <c r="K2" s="5"/>
    </row>
    <row r="3" spans="1:115" s="6" customFormat="1" ht="43.25" customHeight="1" thickTop="1" thickBot="1" x14ac:dyDescent="0.3">
      <c r="A3" s="325" t="s">
        <v>68</v>
      </c>
      <c r="B3" s="265" t="s">
        <v>2</v>
      </c>
      <c r="C3" s="266"/>
      <c r="D3" s="536" t="s">
        <v>3</v>
      </c>
      <c r="E3" s="537"/>
      <c r="F3" s="538" t="s">
        <v>4</v>
      </c>
      <c r="G3" s="539"/>
      <c r="H3" s="293" t="s">
        <v>5</v>
      </c>
      <c r="I3" s="294" t="s">
        <v>6</v>
      </c>
      <c r="J3" s="294" t="s">
        <v>7</v>
      </c>
      <c r="K3" s="295" t="s">
        <v>8</v>
      </c>
      <c r="L3" s="296" t="s">
        <v>100</v>
      </c>
      <c r="M3" s="297" t="s">
        <v>10</v>
      </c>
      <c r="N3" s="297" t="s">
        <v>11</v>
      </c>
      <c r="O3" s="298" t="s">
        <v>64</v>
      </c>
      <c r="P3" s="293" t="s">
        <v>13</v>
      </c>
      <c r="Q3" s="297" t="s">
        <v>98</v>
      </c>
      <c r="R3" s="309" t="s">
        <v>14</v>
      </c>
      <c r="S3" s="310" t="s">
        <v>88</v>
      </c>
      <c r="T3" s="311" t="s">
        <v>16</v>
      </c>
      <c r="U3" s="297" t="s">
        <v>17</v>
      </c>
      <c r="V3" s="297" t="s">
        <v>18</v>
      </c>
      <c r="W3" s="294" t="s">
        <v>61</v>
      </c>
      <c r="X3" s="312" t="s">
        <v>19</v>
      </c>
      <c r="Y3" s="297" t="s">
        <v>65</v>
      </c>
      <c r="Z3" s="297" t="s">
        <v>102</v>
      </c>
      <c r="AA3" s="298" t="s">
        <v>104</v>
      </c>
    </row>
    <row r="4" spans="1:115" s="7" customFormat="1" ht="11" thickBot="1" x14ac:dyDescent="0.3">
      <c r="A4" s="267" t="s">
        <v>1</v>
      </c>
      <c r="B4" s="36" t="s">
        <v>2</v>
      </c>
      <c r="C4" s="268" t="s">
        <v>21</v>
      </c>
      <c r="D4" s="267" t="s">
        <v>22</v>
      </c>
      <c r="E4" s="234" t="s">
        <v>23</v>
      </c>
      <c r="F4" s="62" t="s">
        <v>22</v>
      </c>
      <c r="G4" s="280" t="s">
        <v>23</v>
      </c>
      <c r="H4" s="267" t="s">
        <v>22</v>
      </c>
      <c r="I4" s="30" t="s">
        <v>22</v>
      </c>
      <c r="J4" s="30" t="s">
        <v>22</v>
      </c>
      <c r="K4" s="32" t="s">
        <v>22</v>
      </c>
      <c r="L4" s="30" t="s">
        <v>22</v>
      </c>
      <c r="M4" s="30" t="s">
        <v>22</v>
      </c>
      <c r="N4" s="30" t="s">
        <v>22</v>
      </c>
      <c r="O4" s="299" t="s">
        <v>22</v>
      </c>
      <c r="P4" s="267" t="s">
        <v>23</v>
      </c>
      <c r="Q4" s="30" t="s">
        <v>23</v>
      </c>
      <c r="R4" s="11" t="s">
        <v>23</v>
      </c>
      <c r="S4" s="11" t="s">
        <v>23</v>
      </c>
      <c r="T4" s="30" t="s">
        <v>23</v>
      </c>
      <c r="U4" s="30" t="s">
        <v>23</v>
      </c>
      <c r="V4" s="30" t="s">
        <v>23</v>
      </c>
      <c r="W4" s="31" t="s">
        <v>23</v>
      </c>
      <c r="X4" s="33" t="s">
        <v>23</v>
      </c>
      <c r="Y4" s="33" t="s">
        <v>23</v>
      </c>
      <c r="Z4" s="33" t="s">
        <v>23</v>
      </c>
      <c r="AA4" s="313" t="s">
        <v>23</v>
      </c>
    </row>
    <row r="5" spans="1:115" s="7" customFormat="1" ht="15" customHeight="1" thickBot="1" x14ac:dyDescent="0.3">
      <c r="A5" s="269" t="s">
        <v>24</v>
      </c>
      <c r="B5" s="47" t="s">
        <v>48</v>
      </c>
      <c r="C5" s="270"/>
      <c r="D5" s="281">
        <f>' 02 2022'!D87</f>
        <v>7799.4100000000035</v>
      </c>
      <c r="E5" s="179"/>
      <c r="F5" s="180">
        <f>' 02 2022'!F87</f>
        <v>87.230000000000018</v>
      </c>
      <c r="G5" s="282"/>
      <c r="H5" s="300"/>
      <c r="I5" s="181"/>
      <c r="J5" s="181"/>
      <c r="K5" s="182"/>
      <c r="L5" s="181"/>
      <c r="M5" s="181"/>
      <c r="N5" s="181"/>
      <c r="O5" s="301">
        <f>SUM(D5:F5)</f>
        <v>7886.6400000000031</v>
      </c>
      <c r="P5" s="314"/>
      <c r="Q5" s="187"/>
      <c r="R5" s="187"/>
      <c r="S5" s="187"/>
      <c r="T5" s="187"/>
      <c r="U5" s="187"/>
      <c r="V5" s="187"/>
      <c r="W5" s="188"/>
      <c r="X5" s="187"/>
      <c r="Y5" s="187"/>
      <c r="Z5" s="187"/>
      <c r="AA5" s="315"/>
      <c r="AB5" s="8"/>
      <c r="AC5" s="8"/>
      <c r="AD5" s="8"/>
      <c r="AE5" s="8"/>
      <c r="AF5" s="8"/>
      <c r="AG5" s="8"/>
    </row>
    <row r="6" spans="1:115" s="170" customFormat="1" ht="12" customHeight="1" x14ac:dyDescent="0.25">
      <c r="A6" s="271">
        <v>44622</v>
      </c>
      <c r="B6" s="222" t="s">
        <v>138</v>
      </c>
      <c r="C6" s="272" t="s">
        <v>145</v>
      </c>
      <c r="D6" s="283"/>
      <c r="E6" s="223">
        <v>10.44</v>
      </c>
      <c r="F6" s="224"/>
      <c r="G6" s="284"/>
      <c r="H6" s="302"/>
      <c r="I6" s="225"/>
      <c r="J6" s="225"/>
      <c r="K6" s="226"/>
      <c r="L6" s="225"/>
      <c r="M6" s="225"/>
      <c r="N6" s="225"/>
      <c r="O6" s="303"/>
      <c r="P6" s="316"/>
      <c r="Q6" s="227"/>
      <c r="R6" s="227"/>
      <c r="S6" s="227"/>
      <c r="T6" s="227"/>
      <c r="U6" s="228"/>
      <c r="V6" s="227"/>
      <c r="W6" s="229">
        <v>10.44</v>
      </c>
      <c r="X6" s="227"/>
      <c r="Y6" s="227"/>
      <c r="Z6" s="227"/>
      <c r="AA6" s="317"/>
      <c r="AB6" s="168"/>
      <c r="AC6" s="168"/>
      <c r="AD6" s="168"/>
      <c r="AE6" s="168"/>
      <c r="AF6" s="168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</row>
    <row r="7" spans="1:115" s="170" customFormat="1" ht="12" customHeight="1" x14ac:dyDescent="0.25">
      <c r="A7" s="273">
        <v>44622</v>
      </c>
      <c r="B7" s="231" t="s">
        <v>285</v>
      </c>
      <c r="C7" s="274" t="s">
        <v>145</v>
      </c>
      <c r="D7" s="285"/>
      <c r="E7" s="218"/>
      <c r="F7" s="219">
        <v>39.299999999999997</v>
      </c>
      <c r="G7" s="286"/>
      <c r="H7" s="304">
        <v>39.299999999999997</v>
      </c>
      <c r="I7" s="185"/>
      <c r="J7" s="185"/>
      <c r="K7" s="186"/>
      <c r="L7" s="185"/>
      <c r="M7" s="185"/>
      <c r="N7" s="185"/>
      <c r="O7" s="305"/>
      <c r="P7" s="318"/>
      <c r="Q7" s="191"/>
      <c r="R7" s="191"/>
      <c r="S7" s="191"/>
      <c r="T7" s="191"/>
      <c r="U7" s="232"/>
      <c r="V7" s="191"/>
      <c r="W7" s="192"/>
      <c r="X7" s="191"/>
      <c r="Y7" s="191"/>
      <c r="Z7" s="191"/>
      <c r="AA7" s="319"/>
      <c r="AB7" s="168"/>
      <c r="AC7" s="168"/>
      <c r="AD7" s="168"/>
      <c r="AE7" s="168"/>
      <c r="AF7" s="168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</row>
    <row r="8" spans="1:115" s="170" customFormat="1" ht="12" customHeight="1" x14ac:dyDescent="0.25">
      <c r="A8" s="273">
        <v>44595</v>
      </c>
      <c r="B8" s="231" t="s">
        <v>146</v>
      </c>
      <c r="C8" s="274" t="s">
        <v>145</v>
      </c>
      <c r="D8" s="285"/>
      <c r="E8" s="218">
        <v>29.99</v>
      </c>
      <c r="F8" s="219"/>
      <c r="G8" s="286"/>
      <c r="H8" s="304"/>
      <c r="I8" s="185"/>
      <c r="J8" s="185"/>
      <c r="K8" s="186"/>
      <c r="L8" s="185"/>
      <c r="M8" s="185"/>
      <c r="N8" s="185"/>
      <c r="O8" s="305"/>
      <c r="P8" s="318"/>
      <c r="Q8" s="191"/>
      <c r="R8" s="191"/>
      <c r="S8" s="191"/>
      <c r="T8" s="191"/>
      <c r="U8" s="232"/>
      <c r="V8" s="191">
        <v>29.99</v>
      </c>
      <c r="W8" s="192"/>
      <c r="X8" s="191"/>
      <c r="Y8" s="191"/>
      <c r="Z8" s="191"/>
      <c r="AA8" s="319"/>
      <c r="AB8" s="168"/>
      <c r="AC8" s="168"/>
      <c r="AD8" s="168"/>
      <c r="AE8" s="168"/>
      <c r="AF8" s="168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</row>
    <row r="9" spans="1:115" s="170" customFormat="1" ht="12" customHeight="1" x14ac:dyDescent="0.25">
      <c r="A9" s="273">
        <v>44624</v>
      </c>
      <c r="B9" s="231" t="s">
        <v>286</v>
      </c>
      <c r="C9" s="274" t="s">
        <v>145</v>
      </c>
      <c r="D9" s="285"/>
      <c r="E9" s="218">
        <v>10</v>
      </c>
      <c r="F9" s="219"/>
      <c r="G9" s="286"/>
      <c r="H9" s="304"/>
      <c r="I9" s="185"/>
      <c r="J9" s="185"/>
      <c r="K9" s="186"/>
      <c r="L9" s="185"/>
      <c r="M9" s="185"/>
      <c r="N9" s="185"/>
      <c r="O9" s="305"/>
      <c r="P9" s="318"/>
      <c r="Q9" s="191"/>
      <c r="R9" s="191"/>
      <c r="S9" s="191">
        <v>10</v>
      </c>
      <c r="T9" s="191"/>
      <c r="U9" s="232"/>
      <c r="V9" s="191"/>
      <c r="W9" s="192"/>
      <c r="X9" s="191"/>
      <c r="Y9" s="191"/>
      <c r="Z9" s="191"/>
      <c r="AA9" s="319"/>
      <c r="AB9" s="168"/>
      <c r="AC9" s="168"/>
      <c r="AD9" s="168"/>
      <c r="AE9" s="168"/>
      <c r="AF9" s="168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</row>
    <row r="10" spans="1:115" s="170" customFormat="1" ht="12" customHeight="1" x14ac:dyDescent="0.25">
      <c r="A10" s="273">
        <v>44624</v>
      </c>
      <c r="B10" s="231" t="s">
        <v>287</v>
      </c>
      <c r="C10" s="274" t="s">
        <v>145</v>
      </c>
      <c r="D10" s="285"/>
      <c r="E10" s="218">
        <v>7.99</v>
      </c>
      <c r="F10" s="219"/>
      <c r="G10" s="286"/>
      <c r="H10" s="304"/>
      <c r="I10" s="185"/>
      <c r="J10" s="185"/>
      <c r="K10" s="186"/>
      <c r="L10" s="185"/>
      <c r="M10" s="185"/>
      <c r="N10" s="185"/>
      <c r="O10" s="305"/>
      <c r="P10" s="318"/>
      <c r="Q10" s="191">
        <v>7.99</v>
      </c>
      <c r="R10" s="191"/>
      <c r="S10" s="191"/>
      <c r="T10" s="191"/>
      <c r="U10" s="232"/>
      <c r="V10" s="191"/>
      <c r="W10" s="192"/>
      <c r="X10" s="191"/>
      <c r="Y10" s="191"/>
      <c r="Z10" s="191"/>
      <c r="AA10" s="319"/>
      <c r="AB10" s="168"/>
      <c r="AC10" s="168"/>
      <c r="AD10" s="168"/>
      <c r="AE10" s="168"/>
      <c r="AF10" s="168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</row>
    <row r="11" spans="1:115" s="170" customFormat="1" ht="12" customHeight="1" x14ac:dyDescent="0.25">
      <c r="A11" s="273">
        <v>44624</v>
      </c>
      <c r="B11" s="231" t="s">
        <v>295</v>
      </c>
      <c r="C11" s="274" t="s">
        <v>145</v>
      </c>
      <c r="D11" s="285">
        <v>30</v>
      </c>
      <c r="E11" s="218"/>
      <c r="F11" s="219"/>
      <c r="G11" s="286"/>
      <c r="H11" s="304"/>
      <c r="I11" s="185"/>
      <c r="J11" s="185"/>
      <c r="K11" s="186">
        <v>30</v>
      </c>
      <c r="L11" s="185"/>
      <c r="M11" s="185"/>
      <c r="N11" s="185"/>
      <c r="O11" s="305"/>
      <c r="P11" s="318"/>
      <c r="Q11" s="191"/>
      <c r="R11" s="191"/>
      <c r="S11" s="191"/>
      <c r="T11" s="191"/>
      <c r="U11" s="232"/>
      <c r="V11" s="191"/>
      <c r="W11" s="192"/>
      <c r="X11" s="191"/>
      <c r="Y11" s="191"/>
      <c r="Z11" s="191"/>
      <c r="AA11" s="319"/>
      <c r="AB11" s="168"/>
      <c r="AC11" s="168"/>
      <c r="AD11" s="168"/>
      <c r="AE11" s="168"/>
      <c r="AF11" s="168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</row>
    <row r="12" spans="1:115" s="170" customFormat="1" ht="12" customHeight="1" x14ac:dyDescent="0.25">
      <c r="A12" s="273">
        <v>44624</v>
      </c>
      <c r="B12" s="231" t="s">
        <v>288</v>
      </c>
      <c r="C12" s="274" t="s">
        <v>145</v>
      </c>
      <c r="D12" s="285">
        <v>92</v>
      </c>
      <c r="E12" s="218"/>
      <c r="F12" s="219"/>
      <c r="G12" s="286"/>
      <c r="H12" s="304"/>
      <c r="I12" s="185"/>
      <c r="J12" s="185"/>
      <c r="K12" s="186">
        <v>92</v>
      </c>
      <c r="L12" s="185"/>
      <c r="M12" s="185"/>
      <c r="N12" s="185"/>
      <c r="O12" s="305"/>
      <c r="P12" s="318"/>
      <c r="Q12" s="191"/>
      <c r="R12" s="191"/>
      <c r="S12" s="191"/>
      <c r="T12" s="191"/>
      <c r="U12" s="232"/>
      <c r="V12" s="191"/>
      <c r="W12" s="192"/>
      <c r="X12" s="191"/>
      <c r="Y12" s="191"/>
      <c r="Z12" s="191"/>
      <c r="AA12" s="319"/>
      <c r="AB12" s="168"/>
      <c r="AC12" s="168"/>
      <c r="AD12" s="168"/>
      <c r="AE12" s="168"/>
      <c r="AF12" s="168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</row>
    <row r="13" spans="1:115" s="170" customFormat="1" ht="12" customHeight="1" x14ac:dyDescent="0.25">
      <c r="A13" s="273">
        <v>44624</v>
      </c>
      <c r="B13" s="231" t="s">
        <v>290</v>
      </c>
      <c r="C13" s="274" t="s">
        <v>145</v>
      </c>
      <c r="D13" s="285"/>
      <c r="E13" s="218"/>
      <c r="F13" s="219">
        <v>15</v>
      </c>
      <c r="G13" s="286"/>
      <c r="H13" s="304"/>
      <c r="I13" s="185"/>
      <c r="J13" s="185"/>
      <c r="K13" s="186">
        <v>15</v>
      </c>
      <c r="L13" s="185"/>
      <c r="M13" s="185"/>
      <c r="N13" s="185"/>
      <c r="O13" s="305"/>
      <c r="P13" s="318"/>
      <c r="Q13" s="191"/>
      <c r="R13" s="191"/>
      <c r="S13" s="191"/>
      <c r="T13" s="191"/>
      <c r="U13" s="232"/>
      <c r="V13" s="191"/>
      <c r="W13" s="192"/>
      <c r="X13" s="191"/>
      <c r="Y13" s="191"/>
      <c r="Z13" s="191"/>
      <c r="AA13" s="319"/>
      <c r="AB13" s="168"/>
      <c r="AC13" s="168"/>
      <c r="AD13" s="168"/>
      <c r="AE13" s="168"/>
      <c r="AF13" s="168"/>
      <c r="AG13" s="168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</row>
    <row r="14" spans="1:115" s="170" customFormat="1" ht="12" customHeight="1" x14ac:dyDescent="0.25">
      <c r="A14" s="273">
        <v>44624</v>
      </c>
      <c r="B14" s="231" t="s">
        <v>291</v>
      </c>
      <c r="C14" s="274" t="s">
        <v>145</v>
      </c>
      <c r="D14" s="285">
        <v>42</v>
      </c>
      <c r="E14" s="218"/>
      <c r="F14" s="219"/>
      <c r="G14" s="286"/>
      <c r="H14" s="304"/>
      <c r="I14" s="185"/>
      <c r="J14" s="185"/>
      <c r="K14" s="186">
        <v>42</v>
      </c>
      <c r="L14" s="185"/>
      <c r="M14" s="185"/>
      <c r="N14" s="185"/>
      <c r="O14" s="305"/>
      <c r="P14" s="318"/>
      <c r="Q14" s="191"/>
      <c r="R14" s="191"/>
      <c r="S14" s="191"/>
      <c r="T14" s="191"/>
      <c r="U14" s="232"/>
      <c r="V14" s="191"/>
      <c r="W14" s="192"/>
      <c r="X14" s="191"/>
      <c r="Y14" s="191"/>
      <c r="Z14" s="191"/>
      <c r="AA14" s="319"/>
      <c r="AB14" s="168"/>
      <c r="AC14" s="168"/>
      <c r="AD14" s="168"/>
      <c r="AE14" s="168"/>
      <c r="AF14" s="168"/>
      <c r="AG14" s="168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</row>
    <row r="15" spans="1:115" s="170" customFormat="1" ht="12" customHeight="1" x14ac:dyDescent="0.25">
      <c r="A15" s="273">
        <v>44624</v>
      </c>
      <c r="B15" s="231" t="s">
        <v>292</v>
      </c>
      <c r="C15" s="274" t="s">
        <v>145</v>
      </c>
      <c r="D15" s="285"/>
      <c r="E15" s="218"/>
      <c r="F15" s="219">
        <v>74</v>
      </c>
      <c r="G15" s="286"/>
      <c r="H15" s="304"/>
      <c r="I15" s="185"/>
      <c r="J15" s="185"/>
      <c r="K15" s="186">
        <v>74</v>
      </c>
      <c r="L15" s="185"/>
      <c r="M15" s="185"/>
      <c r="N15" s="185"/>
      <c r="O15" s="305"/>
      <c r="P15" s="318"/>
      <c r="Q15" s="191"/>
      <c r="R15" s="191"/>
      <c r="S15" s="191"/>
      <c r="T15" s="191"/>
      <c r="U15" s="232"/>
      <c r="V15" s="191"/>
      <c r="W15" s="192"/>
      <c r="X15" s="191"/>
      <c r="Y15" s="191"/>
      <c r="Z15" s="191"/>
      <c r="AA15" s="319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</row>
    <row r="16" spans="1:115" s="170" customFormat="1" ht="12" customHeight="1" x14ac:dyDescent="0.25">
      <c r="A16" s="273">
        <v>44624</v>
      </c>
      <c r="B16" s="231" t="s">
        <v>293</v>
      </c>
      <c r="C16" s="274" t="s">
        <v>145</v>
      </c>
      <c r="D16" s="285">
        <v>49.5</v>
      </c>
      <c r="E16" s="218"/>
      <c r="F16" s="219"/>
      <c r="G16" s="286"/>
      <c r="H16" s="304"/>
      <c r="I16" s="185"/>
      <c r="J16" s="185"/>
      <c r="K16" s="186">
        <v>49.5</v>
      </c>
      <c r="L16" s="185"/>
      <c r="M16" s="185"/>
      <c r="N16" s="185"/>
      <c r="O16" s="305"/>
      <c r="P16" s="318"/>
      <c r="Q16" s="191"/>
      <c r="R16" s="191"/>
      <c r="S16" s="191"/>
      <c r="T16" s="191"/>
      <c r="U16" s="232"/>
      <c r="V16" s="191"/>
      <c r="W16" s="192"/>
      <c r="X16" s="191"/>
      <c r="Y16" s="191"/>
      <c r="Z16" s="191"/>
      <c r="AA16" s="319"/>
      <c r="AB16" s="168"/>
      <c r="AC16" s="168"/>
      <c r="AD16" s="168"/>
      <c r="AE16" s="168"/>
      <c r="AF16" s="168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</row>
    <row r="17" spans="1:115" s="170" customFormat="1" ht="12" customHeight="1" x14ac:dyDescent="0.25">
      <c r="A17" s="273">
        <v>44624</v>
      </c>
      <c r="B17" s="231" t="s">
        <v>294</v>
      </c>
      <c r="C17" s="274" t="s">
        <v>145</v>
      </c>
      <c r="D17" s="285"/>
      <c r="E17" s="218"/>
      <c r="F17" s="219">
        <v>56</v>
      </c>
      <c r="G17" s="286"/>
      <c r="H17" s="304"/>
      <c r="I17" s="185"/>
      <c r="J17" s="185"/>
      <c r="K17" s="186">
        <v>56</v>
      </c>
      <c r="L17" s="185"/>
      <c r="M17" s="185"/>
      <c r="N17" s="185"/>
      <c r="O17" s="305"/>
      <c r="P17" s="318"/>
      <c r="Q17" s="191"/>
      <c r="R17" s="191"/>
      <c r="S17" s="191"/>
      <c r="T17" s="191"/>
      <c r="U17" s="232"/>
      <c r="V17" s="191"/>
      <c r="W17" s="192"/>
      <c r="X17" s="191"/>
      <c r="Y17" s="191"/>
      <c r="Z17" s="191"/>
      <c r="AA17" s="319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</row>
    <row r="18" spans="1:115" s="170" customFormat="1" ht="12" customHeight="1" x14ac:dyDescent="0.25">
      <c r="A18" s="273">
        <v>44624</v>
      </c>
      <c r="B18" s="231" t="s">
        <v>289</v>
      </c>
      <c r="C18" s="274" t="s">
        <v>145</v>
      </c>
      <c r="D18" s="285"/>
      <c r="E18" s="218"/>
      <c r="F18" s="219">
        <v>10</v>
      </c>
      <c r="G18" s="286"/>
      <c r="H18" s="304"/>
      <c r="I18" s="185"/>
      <c r="J18" s="185"/>
      <c r="K18" s="186">
        <v>10</v>
      </c>
      <c r="L18" s="185"/>
      <c r="M18" s="185"/>
      <c r="N18" s="185"/>
      <c r="O18" s="305"/>
      <c r="P18" s="318"/>
      <c r="Q18" s="191"/>
      <c r="R18" s="191"/>
      <c r="S18" s="191"/>
      <c r="T18" s="191"/>
      <c r="U18" s="232"/>
      <c r="V18" s="191"/>
      <c r="W18" s="192"/>
      <c r="X18" s="191"/>
      <c r="Y18" s="191"/>
      <c r="Z18" s="191"/>
      <c r="AA18" s="319"/>
      <c r="AB18" s="168"/>
      <c r="AC18" s="168"/>
      <c r="AD18" s="168"/>
      <c r="AE18" s="168"/>
      <c r="AF18" s="168"/>
      <c r="AG18" s="168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</row>
    <row r="19" spans="1:115" s="170" customFormat="1" ht="12" customHeight="1" x14ac:dyDescent="0.25">
      <c r="A19" s="273">
        <v>44624</v>
      </c>
      <c r="B19" s="231" t="s">
        <v>289</v>
      </c>
      <c r="C19" s="274" t="s">
        <v>145</v>
      </c>
      <c r="D19" s="285"/>
      <c r="E19" s="218"/>
      <c r="F19" s="219">
        <v>6</v>
      </c>
      <c r="G19" s="286"/>
      <c r="H19" s="304"/>
      <c r="I19" s="185"/>
      <c r="J19" s="185"/>
      <c r="K19" s="186">
        <v>6</v>
      </c>
      <c r="L19" s="185"/>
      <c r="M19" s="185"/>
      <c r="N19" s="185"/>
      <c r="O19" s="305"/>
      <c r="P19" s="318"/>
      <c r="Q19" s="191"/>
      <c r="R19" s="191"/>
      <c r="S19" s="191"/>
      <c r="T19" s="191"/>
      <c r="U19" s="232"/>
      <c r="V19" s="191"/>
      <c r="W19" s="192"/>
      <c r="X19" s="191"/>
      <c r="Y19" s="191"/>
      <c r="Z19" s="191"/>
      <c r="AA19" s="319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</row>
    <row r="20" spans="1:115" s="170" customFormat="1" ht="12" customHeight="1" x14ac:dyDescent="0.25">
      <c r="A20" s="273">
        <v>44624</v>
      </c>
      <c r="B20" s="231" t="s">
        <v>309</v>
      </c>
      <c r="C20" s="274" t="s">
        <v>145</v>
      </c>
      <c r="D20" s="285">
        <v>70</v>
      </c>
      <c r="E20" s="218"/>
      <c r="F20" s="219"/>
      <c r="G20" s="286"/>
      <c r="H20" s="304"/>
      <c r="I20" s="185">
        <v>70</v>
      </c>
      <c r="J20" s="185"/>
      <c r="K20" s="186"/>
      <c r="L20" s="185"/>
      <c r="M20" s="185"/>
      <c r="N20" s="185"/>
      <c r="O20" s="305"/>
      <c r="P20" s="318"/>
      <c r="Q20" s="191"/>
      <c r="R20" s="191"/>
      <c r="S20" s="191"/>
      <c r="T20" s="191"/>
      <c r="U20" s="232"/>
      <c r="V20" s="191"/>
      <c r="W20" s="192"/>
      <c r="X20" s="191"/>
      <c r="Y20" s="191"/>
      <c r="Z20" s="191"/>
      <c r="AA20" s="319"/>
      <c r="AB20" s="168"/>
      <c r="AC20" s="168"/>
      <c r="AD20" s="168"/>
      <c r="AE20" s="168"/>
      <c r="AF20" s="168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</row>
    <row r="21" spans="1:115" s="170" customFormat="1" ht="12" customHeight="1" x14ac:dyDescent="0.25">
      <c r="A21" s="273">
        <v>44624</v>
      </c>
      <c r="B21" s="231" t="s">
        <v>310</v>
      </c>
      <c r="C21" s="274" t="s">
        <v>145</v>
      </c>
      <c r="D21" s="285">
        <v>80</v>
      </c>
      <c r="E21" s="218"/>
      <c r="F21" s="219"/>
      <c r="G21" s="286"/>
      <c r="H21" s="304"/>
      <c r="I21" s="185">
        <v>80</v>
      </c>
      <c r="J21" s="185"/>
      <c r="K21" s="186"/>
      <c r="L21" s="185"/>
      <c r="M21" s="185"/>
      <c r="N21" s="185"/>
      <c r="O21" s="305"/>
      <c r="P21" s="318"/>
      <c r="Q21" s="191"/>
      <c r="R21" s="191"/>
      <c r="S21" s="191"/>
      <c r="T21" s="191"/>
      <c r="U21" s="232"/>
      <c r="V21" s="191"/>
      <c r="W21" s="192"/>
      <c r="X21" s="191"/>
      <c r="Y21" s="191"/>
      <c r="Z21" s="191"/>
      <c r="AA21" s="319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</row>
    <row r="22" spans="1:115" s="170" customFormat="1" ht="12" customHeight="1" x14ac:dyDescent="0.25">
      <c r="A22" s="273">
        <v>44625</v>
      </c>
      <c r="B22" s="231" t="s">
        <v>298</v>
      </c>
      <c r="C22" s="274" t="s">
        <v>145</v>
      </c>
      <c r="D22" s="285">
        <v>30</v>
      </c>
      <c r="E22" s="218"/>
      <c r="F22" s="219"/>
      <c r="G22" s="286"/>
      <c r="H22" s="304"/>
      <c r="I22" s="185">
        <v>30</v>
      </c>
      <c r="J22" s="185"/>
      <c r="K22" s="186"/>
      <c r="L22" s="185"/>
      <c r="M22" s="185"/>
      <c r="N22" s="185"/>
      <c r="O22" s="305"/>
      <c r="P22" s="318"/>
      <c r="Q22" s="191"/>
      <c r="R22" s="191"/>
      <c r="S22" s="191"/>
      <c r="T22" s="191"/>
      <c r="U22" s="232"/>
      <c r="V22" s="191"/>
      <c r="W22" s="192"/>
      <c r="X22" s="191"/>
      <c r="Y22" s="191"/>
      <c r="Z22" s="191"/>
      <c r="AA22" s="319"/>
      <c r="AB22" s="168"/>
      <c r="AC22" s="168"/>
      <c r="AD22" s="168"/>
      <c r="AE22" s="168"/>
      <c r="AF22" s="168"/>
      <c r="AG22" s="16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</row>
    <row r="23" spans="1:115" s="170" customFormat="1" ht="12" customHeight="1" x14ac:dyDescent="0.25">
      <c r="A23" s="210">
        <v>44626</v>
      </c>
      <c r="B23" s="56" t="s">
        <v>299</v>
      </c>
      <c r="C23" s="274" t="s">
        <v>145</v>
      </c>
      <c r="D23" s="285"/>
      <c r="E23" s="218"/>
      <c r="F23" s="204">
        <v>31.5</v>
      </c>
      <c r="G23" s="286"/>
      <c r="H23" s="304"/>
      <c r="I23" s="185"/>
      <c r="J23" s="185"/>
      <c r="K23" s="204">
        <v>31.5</v>
      </c>
      <c r="L23" s="185"/>
      <c r="M23" s="185"/>
      <c r="N23" s="185"/>
      <c r="O23" s="305"/>
      <c r="P23" s="318"/>
      <c r="Q23" s="191"/>
      <c r="R23" s="191"/>
      <c r="S23" s="191"/>
      <c r="T23" s="191"/>
      <c r="U23" s="232"/>
      <c r="V23" s="191"/>
      <c r="W23" s="192"/>
      <c r="X23" s="191"/>
      <c r="Y23" s="191"/>
      <c r="Z23" s="191"/>
      <c r="AA23" s="319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</row>
    <row r="24" spans="1:115" s="170" customFormat="1" ht="12" customHeight="1" x14ac:dyDescent="0.25">
      <c r="A24" s="210">
        <v>44626</v>
      </c>
      <c r="B24" s="56" t="s">
        <v>299</v>
      </c>
      <c r="C24" s="274" t="s">
        <v>145</v>
      </c>
      <c r="D24" s="285"/>
      <c r="E24" s="218"/>
      <c r="F24" s="204">
        <v>11.5</v>
      </c>
      <c r="G24" s="286"/>
      <c r="H24" s="304"/>
      <c r="I24" s="185"/>
      <c r="J24" s="185"/>
      <c r="K24" s="204">
        <v>11.5</v>
      </c>
      <c r="L24" s="185"/>
      <c r="M24" s="185"/>
      <c r="N24" s="185"/>
      <c r="O24" s="305"/>
      <c r="P24" s="318"/>
      <c r="Q24" s="191"/>
      <c r="R24" s="191"/>
      <c r="S24" s="191"/>
      <c r="T24" s="191"/>
      <c r="U24" s="232"/>
      <c r="V24" s="191"/>
      <c r="W24" s="192"/>
      <c r="X24" s="191"/>
      <c r="Y24" s="191"/>
      <c r="Z24" s="191"/>
      <c r="AA24" s="319"/>
      <c r="AB24" s="168"/>
      <c r="AC24" s="168"/>
      <c r="AD24" s="168"/>
      <c r="AE24" s="168"/>
      <c r="AF24" s="168"/>
      <c r="AG24" s="168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</row>
    <row r="25" spans="1:115" s="170" customFormat="1" ht="12" customHeight="1" x14ac:dyDescent="0.25">
      <c r="A25" s="210">
        <v>44626</v>
      </c>
      <c r="B25" s="56" t="s">
        <v>300</v>
      </c>
      <c r="C25" s="274" t="s">
        <v>145</v>
      </c>
      <c r="D25" s="285"/>
      <c r="E25" s="218"/>
      <c r="F25" s="204">
        <v>31</v>
      </c>
      <c r="G25" s="286"/>
      <c r="H25" s="304"/>
      <c r="I25" s="185"/>
      <c r="J25" s="185"/>
      <c r="K25" s="204">
        <v>31</v>
      </c>
      <c r="L25" s="185"/>
      <c r="M25" s="185"/>
      <c r="N25" s="185"/>
      <c r="O25" s="305"/>
      <c r="P25" s="318"/>
      <c r="Q25" s="191"/>
      <c r="R25" s="191"/>
      <c r="S25" s="191"/>
      <c r="T25" s="191"/>
      <c r="U25" s="232"/>
      <c r="V25" s="191"/>
      <c r="W25" s="192"/>
      <c r="X25" s="191"/>
      <c r="Y25" s="191"/>
      <c r="Z25" s="191"/>
      <c r="AA25" s="319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</row>
    <row r="26" spans="1:115" s="170" customFormat="1" ht="12" customHeight="1" x14ac:dyDescent="0.25">
      <c r="A26" s="210">
        <v>44626</v>
      </c>
      <c r="B26" s="56" t="s">
        <v>301</v>
      </c>
      <c r="C26" s="274" t="s">
        <v>145</v>
      </c>
      <c r="D26" s="285"/>
      <c r="E26" s="218"/>
      <c r="F26" s="205">
        <v>1</v>
      </c>
      <c r="G26" s="286"/>
      <c r="H26" s="304"/>
      <c r="I26" s="185"/>
      <c r="J26" s="185"/>
      <c r="K26" s="205">
        <v>1</v>
      </c>
      <c r="L26" s="185"/>
      <c r="M26" s="185"/>
      <c r="N26" s="185"/>
      <c r="O26" s="305"/>
      <c r="P26" s="318"/>
      <c r="Q26" s="191"/>
      <c r="R26" s="191"/>
      <c r="S26" s="191"/>
      <c r="T26" s="191"/>
      <c r="U26" s="232"/>
      <c r="V26" s="191"/>
      <c r="W26" s="192"/>
      <c r="X26" s="191"/>
      <c r="Y26" s="191"/>
      <c r="Z26" s="191"/>
      <c r="AA26" s="319"/>
      <c r="AB26" s="168"/>
      <c r="AC26" s="168"/>
      <c r="AD26" s="168"/>
      <c r="AE26" s="168"/>
      <c r="AF26" s="168"/>
      <c r="AG26" s="168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</row>
    <row r="27" spans="1:115" s="170" customFormat="1" ht="12" customHeight="1" x14ac:dyDescent="0.25">
      <c r="A27" s="210">
        <v>44626</v>
      </c>
      <c r="B27" s="231" t="s">
        <v>302</v>
      </c>
      <c r="C27" s="274" t="s">
        <v>145</v>
      </c>
      <c r="D27" s="285">
        <v>100</v>
      </c>
      <c r="E27" s="218"/>
      <c r="F27" s="219"/>
      <c r="G27" s="286"/>
      <c r="H27" s="304"/>
      <c r="I27" s="185">
        <v>100</v>
      </c>
      <c r="J27" s="185"/>
      <c r="K27" s="186"/>
      <c r="L27" s="185"/>
      <c r="M27" s="185"/>
      <c r="N27" s="185"/>
      <c r="O27" s="305"/>
      <c r="P27" s="318"/>
      <c r="Q27" s="191"/>
      <c r="R27" s="191"/>
      <c r="S27" s="191"/>
      <c r="T27" s="191"/>
      <c r="U27" s="232"/>
      <c r="V27" s="191"/>
      <c r="W27" s="192"/>
      <c r="X27" s="191"/>
      <c r="Y27" s="191"/>
      <c r="Z27" s="191"/>
      <c r="AA27" s="319"/>
      <c r="AB27" s="168"/>
      <c r="AC27" s="168"/>
      <c r="AD27" s="168"/>
      <c r="AE27" s="168"/>
      <c r="AF27" s="168"/>
      <c r="AG27" s="168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</row>
    <row r="28" spans="1:115" s="170" customFormat="1" ht="12" customHeight="1" x14ac:dyDescent="0.25">
      <c r="A28" s="210">
        <v>44626</v>
      </c>
      <c r="B28" s="231" t="s">
        <v>303</v>
      </c>
      <c r="C28" s="274" t="s">
        <v>145</v>
      </c>
      <c r="D28" s="285">
        <v>100</v>
      </c>
      <c r="E28" s="218"/>
      <c r="F28" s="219"/>
      <c r="G28" s="286"/>
      <c r="H28" s="304"/>
      <c r="I28" s="185">
        <v>100</v>
      </c>
      <c r="J28" s="185"/>
      <c r="K28" s="186"/>
      <c r="L28" s="185"/>
      <c r="M28" s="185"/>
      <c r="N28" s="185"/>
      <c r="O28" s="305"/>
      <c r="P28" s="318"/>
      <c r="Q28" s="191"/>
      <c r="R28" s="191"/>
      <c r="S28" s="191"/>
      <c r="T28" s="191"/>
      <c r="U28" s="232"/>
      <c r="V28" s="191"/>
      <c r="W28" s="192"/>
      <c r="X28" s="191"/>
      <c r="Y28" s="191"/>
      <c r="Z28" s="191"/>
      <c r="AA28" s="319"/>
      <c r="AB28" s="168"/>
      <c r="AC28" s="168"/>
      <c r="AD28" s="168"/>
      <c r="AE28" s="168"/>
      <c r="AF28" s="168"/>
      <c r="AG28" s="168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</row>
    <row r="29" spans="1:115" s="170" customFormat="1" ht="12" customHeight="1" x14ac:dyDescent="0.25">
      <c r="A29" s="210">
        <v>44626</v>
      </c>
      <c r="B29" s="231" t="s">
        <v>304</v>
      </c>
      <c r="C29" s="274" t="s">
        <v>145</v>
      </c>
      <c r="D29" s="285">
        <v>949.7</v>
      </c>
      <c r="E29" s="218"/>
      <c r="F29" s="219"/>
      <c r="G29" s="286"/>
      <c r="H29" s="304"/>
      <c r="I29" s="185">
        <v>949.7</v>
      </c>
      <c r="J29" s="185"/>
      <c r="K29" s="186"/>
      <c r="L29" s="185"/>
      <c r="M29" s="185"/>
      <c r="N29" s="185"/>
      <c r="O29" s="305"/>
      <c r="P29" s="318"/>
      <c r="Q29" s="191"/>
      <c r="R29" s="191"/>
      <c r="S29" s="191"/>
      <c r="T29" s="191"/>
      <c r="U29" s="232"/>
      <c r="V29" s="191"/>
      <c r="W29" s="192"/>
      <c r="X29" s="191"/>
      <c r="Y29" s="191"/>
      <c r="Z29" s="191"/>
      <c r="AA29" s="319"/>
      <c r="AB29" s="168"/>
      <c r="AC29" s="168"/>
      <c r="AD29" s="168"/>
      <c r="AE29" s="168"/>
      <c r="AF29" s="168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</row>
    <row r="30" spans="1:115" s="170" customFormat="1" ht="12" customHeight="1" x14ac:dyDescent="0.25">
      <c r="A30" s="273">
        <v>44627</v>
      </c>
      <c r="B30" s="231" t="s">
        <v>305</v>
      </c>
      <c r="C30" s="274" t="s">
        <v>145</v>
      </c>
      <c r="D30" s="285">
        <v>50</v>
      </c>
      <c r="E30" s="218"/>
      <c r="F30" s="219"/>
      <c r="G30" s="286"/>
      <c r="H30" s="304"/>
      <c r="I30" s="185">
        <v>50</v>
      </c>
      <c r="J30" s="185"/>
      <c r="K30" s="186"/>
      <c r="L30" s="185"/>
      <c r="M30" s="185"/>
      <c r="N30" s="185"/>
      <c r="O30" s="305"/>
      <c r="P30" s="318"/>
      <c r="Q30" s="191"/>
      <c r="R30" s="191"/>
      <c r="S30" s="191"/>
      <c r="T30" s="191"/>
      <c r="U30" s="232"/>
      <c r="V30" s="191"/>
      <c r="W30" s="192"/>
      <c r="X30" s="191"/>
      <c r="Y30" s="191"/>
      <c r="Z30" s="191"/>
      <c r="AA30" s="319"/>
      <c r="AB30" s="168"/>
      <c r="AC30" s="168"/>
      <c r="AD30" s="168"/>
      <c r="AE30" s="168"/>
      <c r="AF30" s="168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</row>
    <row r="31" spans="1:115" s="170" customFormat="1" ht="12" customHeight="1" x14ac:dyDescent="0.25">
      <c r="A31" s="273">
        <v>44628</v>
      </c>
      <c r="B31" s="231" t="s">
        <v>211</v>
      </c>
      <c r="C31" s="274" t="s">
        <v>145</v>
      </c>
      <c r="D31" s="285"/>
      <c r="E31" s="218">
        <v>9.16</v>
      </c>
      <c r="F31" s="219"/>
      <c r="G31" s="286"/>
      <c r="H31" s="304"/>
      <c r="I31" s="185"/>
      <c r="J31" s="185"/>
      <c r="K31" s="186"/>
      <c r="L31" s="185"/>
      <c r="M31" s="185"/>
      <c r="N31" s="185"/>
      <c r="O31" s="305"/>
      <c r="P31" s="318"/>
      <c r="Q31" s="191"/>
      <c r="R31" s="191"/>
      <c r="S31" s="191"/>
      <c r="T31" s="191"/>
      <c r="U31" s="232"/>
      <c r="V31" s="191"/>
      <c r="W31" s="192"/>
      <c r="X31" s="191"/>
      <c r="Y31" s="191">
        <v>9.16</v>
      </c>
      <c r="Z31" s="191"/>
      <c r="AA31" s="319"/>
      <c r="AB31" s="168"/>
      <c r="AC31" s="168"/>
      <c r="AD31" s="168"/>
      <c r="AE31" s="168"/>
      <c r="AF31" s="168"/>
      <c r="AG31" s="168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</row>
    <row r="32" spans="1:115" s="170" customFormat="1" ht="12" customHeight="1" x14ac:dyDescent="0.25">
      <c r="A32" s="273">
        <v>44629</v>
      </c>
      <c r="B32" s="231" t="s">
        <v>306</v>
      </c>
      <c r="C32" s="274" t="s">
        <v>145</v>
      </c>
      <c r="D32" s="285">
        <v>133.63999999999999</v>
      </c>
      <c r="E32" s="218"/>
      <c r="F32" s="219"/>
      <c r="G32" s="286"/>
      <c r="H32" s="304"/>
      <c r="I32" s="185">
        <v>133.63999999999999</v>
      </c>
      <c r="J32" s="185"/>
      <c r="K32" s="186"/>
      <c r="L32" s="185"/>
      <c r="M32" s="185"/>
      <c r="N32" s="185"/>
      <c r="O32" s="305"/>
      <c r="P32" s="318"/>
      <c r="Q32" s="191"/>
      <c r="R32" s="191"/>
      <c r="S32" s="191"/>
      <c r="T32" s="191"/>
      <c r="U32" s="232"/>
      <c r="V32" s="191"/>
      <c r="W32" s="192"/>
      <c r="X32" s="191"/>
      <c r="Y32" s="191"/>
      <c r="Z32" s="191"/>
      <c r="AA32" s="319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</row>
    <row r="33" spans="1:115" s="170" customFormat="1" ht="12" customHeight="1" x14ac:dyDescent="0.25">
      <c r="A33" s="273">
        <v>44629</v>
      </c>
      <c r="B33" s="231" t="s">
        <v>307</v>
      </c>
      <c r="C33" s="274" t="s">
        <v>145</v>
      </c>
      <c r="D33" s="285"/>
      <c r="E33" s="218">
        <v>692</v>
      </c>
      <c r="F33" s="219"/>
      <c r="G33" s="286"/>
      <c r="H33" s="304"/>
      <c r="I33" s="185"/>
      <c r="J33" s="185"/>
      <c r="K33" s="186"/>
      <c r="L33" s="185"/>
      <c r="M33" s="185"/>
      <c r="N33" s="185"/>
      <c r="O33" s="305"/>
      <c r="P33" s="318"/>
      <c r="Q33" s="191"/>
      <c r="R33" s="191"/>
      <c r="S33" s="191"/>
      <c r="T33" s="191">
        <v>692</v>
      </c>
      <c r="U33" s="232"/>
      <c r="V33" s="191"/>
      <c r="W33" s="192"/>
      <c r="X33" s="191"/>
      <c r="Y33" s="191"/>
      <c r="Z33" s="191"/>
      <c r="AA33" s="319"/>
      <c r="AB33" s="168"/>
      <c r="AC33" s="168"/>
      <c r="AD33" s="168"/>
      <c r="AE33" s="168"/>
      <c r="AF33" s="168"/>
      <c r="AG33" s="168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</row>
    <row r="34" spans="1:115" s="170" customFormat="1" ht="12" customHeight="1" x14ac:dyDescent="0.25">
      <c r="A34" s="273">
        <v>44629</v>
      </c>
      <c r="B34" s="231" t="s">
        <v>308</v>
      </c>
      <c r="C34" s="274" t="s">
        <v>145</v>
      </c>
      <c r="D34" s="285"/>
      <c r="E34" s="218">
        <v>80</v>
      </c>
      <c r="F34" s="219"/>
      <c r="G34" s="286"/>
      <c r="H34" s="304"/>
      <c r="I34" s="185"/>
      <c r="J34" s="185"/>
      <c r="K34" s="186"/>
      <c r="L34" s="185"/>
      <c r="M34" s="185"/>
      <c r="N34" s="185"/>
      <c r="O34" s="305"/>
      <c r="P34" s="318"/>
      <c r="Q34" s="191"/>
      <c r="R34" s="191"/>
      <c r="S34" s="191"/>
      <c r="T34" s="191">
        <v>80</v>
      </c>
      <c r="U34" s="232"/>
      <c r="V34" s="191"/>
      <c r="W34" s="192"/>
      <c r="X34" s="191"/>
      <c r="Y34" s="191"/>
      <c r="Z34" s="191"/>
      <c r="AA34" s="319"/>
      <c r="AB34" s="168"/>
      <c r="AC34" s="168"/>
      <c r="AD34" s="168"/>
      <c r="AE34" s="168"/>
      <c r="AF34" s="168"/>
      <c r="AG34" s="168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</row>
    <row r="35" spans="1:115" s="170" customFormat="1" ht="12" customHeight="1" x14ac:dyDescent="0.25">
      <c r="A35" s="273">
        <v>44631</v>
      </c>
      <c r="B35" s="231" t="s">
        <v>311</v>
      </c>
      <c r="C35" s="274" t="s">
        <v>145</v>
      </c>
      <c r="D35" s="285">
        <v>275.3</v>
      </c>
      <c r="E35" s="218"/>
      <c r="F35" s="219"/>
      <c r="G35" s="286">
        <v>275.3</v>
      </c>
      <c r="H35" s="304"/>
      <c r="I35" s="185"/>
      <c r="J35" s="185"/>
      <c r="K35" s="186"/>
      <c r="L35" s="185"/>
      <c r="M35" s="185"/>
      <c r="N35" s="185"/>
      <c r="O35" s="305"/>
      <c r="P35" s="318"/>
      <c r="Q35" s="191"/>
      <c r="R35" s="191"/>
      <c r="S35" s="191"/>
      <c r="T35" s="191"/>
      <c r="U35" s="232"/>
      <c r="V35" s="191"/>
      <c r="W35" s="192"/>
      <c r="X35" s="191"/>
      <c r="Y35" s="191"/>
      <c r="Z35" s="191"/>
      <c r="AA35" s="319"/>
      <c r="AB35" s="168"/>
      <c r="AC35" s="168"/>
      <c r="AD35" s="168"/>
      <c r="AE35" s="168"/>
      <c r="AF35" s="168"/>
      <c r="AG35" s="168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</row>
    <row r="36" spans="1:115" s="170" customFormat="1" ht="12" customHeight="1" x14ac:dyDescent="0.25">
      <c r="A36" s="273">
        <v>44631</v>
      </c>
      <c r="B36" s="231" t="s">
        <v>312</v>
      </c>
      <c r="C36" s="274" t="s">
        <v>145</v>
      </c>
      <c r="D36" s="285">
        <v>60</v>
      </c>
      <c r="E36" s="218"/>
      <c r="F36" s="219"/>
      <c r="G36" s="286"/>
      <c r="H36" s="304"/>
      <c r="I36" s="185">
        <v>60</v>
      </c>
      <c r="J36" s="185"/>
      <c r="K36" s="186"/>
      <c r="L36" s="185"/>
      <c r="M36" s="185"/>
      <c r="N36" s="185"/>
      <c r="O36" s="305"/>
      <c r="P36" s="318"/>
      <c r="Q36" s="191"/>
      <c r="R36" s="191"/>
      <c r="S36" s="191"/>
      <c r="T36" s="191"/>
      <c r="U36" s="232"/>
      <c r="V36" s="191"/>
      <c r="W36" s="192"/>
      <c r="X36" s="191"/>
      <c r="Y36" s="191"/>
      <c r="Z36" s="191"/>
      <c r="AA36" s="319"/>
      <c r="AB36" s="168"/>
      <c r="AC36" s="168"/>
      <c r="AD36" s="168"/>
      <c r="AE36" s="168"/>
      <c r="AF36" s="168"/>
      <c r="AG36" s="168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</row>
    <row r="37" spans="1:115" s="170" customFormat="1" ht="12" customHeight="1" x14ac:dyDescent="0.25">
      <c r="A37" s="273">
        <v>44631</v>
      </c>
      <c r="B37" s="231" t="s">
        <v>313</v>
      </c>
      <c r="C37" s="274" t="s">
        <v>145</v>
      </c>
      <c r="D37" s="285">
        <v>24</v>
      </c>
      <c r="E37" s="218"/>
      <c r="F37" s="219"/>
      <c r="G37" s="286"/>
      <c r="H37" s="304"/>
      <c r="I37" s="185">
        <v>24</v>
      </c>
      <c r="J37" s="185"/>
      <c r="K37" s="186"/>
      <c r="L37" s="185"/>
      <c r="M37" s="185"/>
      <c r="N37" s="185"/>
      <c r="O37" s="305"/>
      <c r="P37" s="318"/>
      <c r="Q37" s="191"/>
      <c r="R37" s="191"/>
      <c r="S37" s="191"/>
      <c r="T37" s="191"/>
      <c r="U37" s="232"/>
      <c r="V37" s="191"/>
      <c r="W37" s="192"/>
      <c r="X37" s="191"/>
      <c r="Y37" s="191"/>
      <c r="Z37" s="191"/>
      <c r="AA37" s="319"/>
      <c r="AB37" s="168"/>
      <c r="AC37" s="168"/>
      <c r="AD37" s="168"/>
      <c r="AE37" s="168"/>
      <c r="AF37" s="168"/>
      <c r="AG37" s="168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</row>
    <row r="38" spans="1:115" s="170" customFormat="1" ht="12" customHeight="1" x14ac:dyDescent="0.25">
      <c r="A38" s="273">
        <v>44632</v>
      </c>
      <c r="B38" s="231" t="s">
        <v>314</v>
      </c>
      <c r="C38" s="274" t="s">
        <v>145</v>
      </c>
      <c r="D38" s="285">
        <v>108</v>
      </c>
      <c r="E38" s="218"/>
      <c r="F38" s="219"/>
      <c r="G38" s="286"/>
      <c r="H38" s="304"/>
      <c r="I38" s="185">
        <v>108</v>
      </c>
      <c r="J38" s="185"/>
      <c r="K38" s="186"/>
      <c r="L38" s="185"/>
      <c r="M38" s="185"/>
      <c r="N38" s="185"/>
      <c r="O38" s="305"/>
      <c r="P38" s="318"/>
      <c r="Q38" s="191"/>
      <c r="R38" s="191"/>
      <c r="S38" s="191"/>
      <c r="T38" s="191"/>
      <c r="U38" s="232"/>
      <c r="V38" s="191"/>
      <c r="W38" s="192"/>
      <c r="X38" s="191"/>
      <c r="Y38" s="191"/>
      <c r="Z38" s="191"/>
      <c r="AA38" s="319"/>
      <c r="AB38" s="168"/>
      <c r="AC38" s="168"/>
      <c r="AD38" s="168"/>
      <c r="AE38" s="168"/>
      <c r="AF38" s="168"/>
      <c r="AG38" s="168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</row>
    <row r="39" spans="1:115" s="170" customFormat="1" ht="12" customHeight="1" x14ac:dyDescent="0.25">
      <c r="A39" s="273">
        <v>44632</v>
      </c>
      <c r="B39" s="56" t="s">
        <v>317</v>
      </c>
      <c r="C39" s="274" t="s">
        <v>145</v>
      </c>
      <c r="D39" s="285"/>
      <c r="E39" s="218"/>
      <c r="F39" s="219">
        <v>7.5</v>
      </c>
      <c r="G39" s="286"/>
      <c r="H39" s="304"/>
      <c r="I39" s="185"/>
      <c r="J39" s="185"/>
      <c r="K39" s="186">
        <v>7.5</v>
      </c>
      <c r="L39" s="185"/>
      <c r="M39" s="185"/>
      <c r="N39" s="185"/>
      <c r="O39" s="305"/>
      <c r="P39" s="318"/>
      <c r="Q39" s="191"/>
      <c r="R39" s="191"/>
      <c r="S39" s="191"/>
      <c r="T39" s="191"/>
      <c r="U39" s="232"/>
      <c r="V39" s="191"/>
      <c r="W39" s="192"/>
      <c r="X39" s="191"/>
      <c r="Y39" s="191"/>
      <c r="Z39" s="191"/>
      <c r="AA39" s="319"/>
      <c r="AB39" s="168"/>
      <c r="AC39" s="168"/>
      <c r="AD39" s="168"/>
      <c r="AE39" s="168"/>
      <c r="AF39" s="168"/>
      <c r="AG39" s="168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</row>
    <row r="40" spans="1:115" s="170" customFormat="1" ht="12" customHeight="1" x14ac:dyDescent="0.25">
      <c r="A40" s="273">
        <v>44632</v>
      </c>
      <c r="B40" s="56" t="s">
        <v>318</v>
      </c>
      <c r="C40" s="274" t="s">
        <v>145</v>
      </c>
      <c r="D40" s="285"/>
      <c r="E40" s="218"/>
      <c r="F40" s="219">
        <v>20</v>
      </c>
      <c r="G40" s="286"/>
      <c r="H40" s="304"/>
      <c r="I40" s="185"/>
      <c r="J40" s="185"/>
      <c r="K40" s="186">
        <v>20</v>
      </c>
      <c r="L40" s="185"/>
      <c r="M40" s="185"/>
      <c r="N40" s="185"/>
      <c r="O40" s="305"/>
      <c r="P40" s="318"/>
      <c r="Q40" s="191"/>
      <c r="R40" s="191"/>
      <c r="S40" s="191"/>
      <c r="T40" s="191"/>
      <c r="U40" s="232"/>
      <c r="V40" s="191"/>
      <c r="W40" s="192"/>
      <c r="X40" s="191"/>
      <c r="Y40" s="191"/>
      <c r="Z40" s="191"/>
      <c r="AA40" s="319"/>
      <c r="AB40" s="168"/>
      <c r="AC40" s="168"/>
      <c r="AD40" s="168"/>
      <c r="AE40" s="168"/>
      <c r="AF40" s="168"/>
      <c r="AG40" s="168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</row>
    <row r="41" spans="1:115" s="170" customFormat="1" ht="12" customHeight="1" x14ac:dyDescent="0.25">
      <c r="A41" s="273">
        <v>44632</v>
      </c>
      <c r="B41" s="56" t="s">
        <v>315</v>
      </c>
      <c r="C41" s="274" t="s">
        <v>145</v>
      </c>
      <c r="D41" s="285"/>
      <c r="E41" s="218"/>
      <c r="F41" s="219">
        <v>63</v>
      </c>
      <c r="G41" s="286"/>
      <c r="H41" s="304"/>
      <c r="I41" s="185"/>
      <c r="J41" s="185"/>
      <c r="K41" s="186">
        <v>63</v>
      </c>
      <c r="L41" s="185"/>
      <c r="M41" s="185"/>
      <c r="N41" s="185"/>
      <c r="O41" s="305"/>
      <c r="P41" s="318"/>
      <c r="Q41" s="191"/>
      <c r="R41" s="191"/>
      <c r="S41" s="191"/>
      <c r="T41" s="191"/>
      <c r="U41" s="232"/>
      <c r="V41" s="191"/>
      <c r="W41" s="192"/>
      <c r="X41" s="191"/>
      <c r="Y41" s="191"/>
      <c r="Z41" s="191"/>
      <c r="AA41" s="319"/>
      <c r="AB41" s="168"/>
      <c r="AC41" s="168"/>
      <c r="AD41" s="168"/>
      <c r="AE41" s="168"/>
      <c r="AF41" s="168"/>
      <c r="AG41" s="168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</row>
    <row r="42" spans="1:115" s="170" customFormat="1" ht="12" customHeight="1" x14ac:dyDescent="0.25">
      <c r="A42" s="273">
        <v>44632</v>
      </c>
      <c r="B42" s="56" t="s">
        <v>316</v>
      </c>
      <c r="C42" s="274" t="s">
        <v>145</v>
      </c>
      <c r="D42" s="285"/>
      <c r="E42" s="218"/>
      <c r="F42" s="219">
        <v>30</v>
      </c>
      <c r="G42" s="286"/>
      <c r="H42" s="304"/>
      <c r="I42" s="185"/>
      <c r="J42" s="185"/>
      <c r="K42" s="186">
        <v>30</v>
      </c>
      <c r="L42" s="185"/>
      <c r="M42" s="185"/>
      <c r="N42" s="185"/>
      <c r="O42" s="305"/>
      <c r="P42" s="318"/>
      <c r="Q42" s="191"/>
      <c r="R42" s="191"/>
      <c r="S42" s="191"/>
      <c r="T42" s="191"/>
      <c r="U42" s="232"/>
      <c r="V42" s="191"/>
      <c r="W42" s="192"/>
      <c r="X42" s="191"/>
      <c r="Y42" s="191"/>
      <c r="Z42" s="191"/>
      <c r="AA42" s="319"/>
      <c r="AB42" s="168"/>
      <c r="AC42" s="168"/>
      <c r="AD42" s="168"/>
      <c r="AE42" s="168"/>
      <c r="AF42" s="168"/>
      <c r="AG42" s="168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</row>
    <row r="43" spans="1:115" s="170" customFormat="1" ht="12" customHeight="1" x14ac:dyDescent="0.25">
      <c r="A43" s="273">
        <v>44632</v>
      </c>
      <c r="B43" s="56" t="s">
        <v>319</v>
      </c>
      <c r="C43" s="274" t="s">
        <v>145</v>
      </c>
      <c r="D43" s="285"/>
      <c r="E43" s="218"/>
      <c r="F43" s="219">
        <v>14.7</v>
      </c>
      <c r="G43" s="286"/>
      <c r="H43" s="304"/>
      <c r="I43" s="185"/>
      <c r="J43" s="185"/>
      <c r="K43" s="186">
        <v>14.7</v>
      </c>
      <c r="L43" s="185"/>
      <c r="M43" s="185"/>
      <c r="N43" s="185"/>
      <c r="O43" s="305"/>
      <c r="P43" s="318"/>
      <c r="Q43" s="191"/>
      <c r="R43" s="191"/>
      <c r="S43" s="191"/>
      <c r="T43" s="191"/>
      <c r="U43" s="232"/>
      <c r="V43" s="191"/>
      <c r="W43" s="192"/>
      <c r="X43" s="191"/>
      <c r="Y43" s="191"/>
      <c r="Z43" s="191"/>
      <c r="AA43" s="319"/>
      <c r="AB43" s="168"/>
      <c r="AC43" s="168"/>
      <c r="AD43" s="168"/>
      <c r="AE43" s="168"/>
      <c r="AF43" s="168"/>
      <c r="AG43" s="168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</row>
    <row r="44" spans="1:115" s="170" customFormat="1" ht="12" customHeight="1" x14ac:dyDescent="0.25">
      <c r="A44" s="273">
        <v>44632</v>
      </c>
      <c r="B44" s="56" t="s">
        <v>316</v>
      </c>
      <c r="C44" s="274" t="s">
        <v>145</v>
      </c>
      <c r="D44" s="285">
        <v>16</v>
      </c>
      <c r="E44" s="218"/>
      <c r="F44" s="219"/>
      <c r="G44" s="286"/>
      <c r="H44" s="304"/>
      <c r="I44" s="185"/>
      <c r="J44" s="185"/>
      <c r="K44" s="186">
        <v>16</v>
      </c>
      <c r="L44" s="185"/>
      <c r="M44" s="185"/>
      <c r="N44" s="185"/>
      <c r="O44" s="305"/>
      <c r="P44" s="318"/>
      <c r="Q44" s="191"/>
      <c r="R44" s="191"/>
      <c r="S44" s="191"/>
      <c r="T44" s="191"/>
      <c r="U44" s="232"/>
      <c r="V44" s="191"/>
      <c r="W44" s="192"/>
      <c r="X44" s="191"/>
      <c r="Y44" s="191"/>
      <c r="Z44" s="191"/>
      <c r="AA44" s="319"/>
      <c r="AB44" s="168"/>
      <c r="AC44" s="168"/>
      <c r="AD44" s="168"/>
      <c r="AE44" s="168"/>
      <c r="AF44" s="168"/>
      <c r="AG44" s="168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</row>
    <row r="45" spans="1:115" s="170" customFormat="1" ht="12" customHeight="1" x14ac:dyDescent="0.25">
      <c r="A45" s="273">
        <v>44632</v>
      </c>
      <c r="B45" s="231" t="s">
        <v>320</v>
      </c>
      <c r="C45" s="274" t="s">
        <v>145</v>
      </c>
      <c r="D45" s="285">
        <v>700</v>
      </c>
      <c r="E45" s="218"/>
      <c r="F45" s="219"/>
      <c r="G45" s="286"/>
      <c r="H45" s="304"/>
      <c r="I45" s="185">
        <v>700</v>
      </c>
      <c r="J45" s="185"/>
      <c r="K45" s="186"/>
      <c r="L45" s="185"/>
      <c r="M45" s="185"/>
      <c r="N45" s="185"/>
      <c r="O45" s="305"/>
      <c r="P45" s="318"/>
      <c r="Q45" s="191"/>
      <c r="R45" s="191"/>
      <c r="S45" s="191"/>
      <c r="T45" s="191"/>
      <c r="U45" s="232"/>
      <c r="V45" s="191"/>
      <c r="W45" s="192"/>
      <c r="X45" s="191"/>
      <c r="Y45" s="191"/>
      <c r="Z45" s="191"/>
      <c r="AA45" s="319"/>
      <c r="AB45" s="168"/>
      <c r="AC45" s="168"/>
      <c r="AD45" s="168"/>
      <c r="AE45" s="168"/>
      <c r="AF45" s="168"/>
      <c r="AG45" s="168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</row>
    <row r="46" spans="1:115" s="170" customFormat="1" ht="12" customHeight="1" x14ac:dyDescent="0.25">
      <c r="A46" s="273">
        <v>44636</v>
      </c>
      <c r="B46" s="231" t="s">
        <v>321</v>
      </c>
      <c r="C46" s="274" t="s">
        <v>145</v>
      </c>
      <c r="D46" s="285"/>
      <c r="E46" s="218">
        <v>281.88</v>
      </c>
      <c r="F46" s="219"/>
      <c r="G46" s="286"/>
      <c r="H46" s="304"/>
      <c r="I46" s="185"/>
      <c r="J46" s="185"/>
      <c r="K46" s="186"/>
      <c r="L46" s="185"/>
      <c r="M46" s="185"/>
      <c r="N46" s="185"/>
      <c r="O46" s="305"/>
      <c r="P46" s="318"/>
      <c r="Q46" s="191"/>
      <c r="R46" s="191"/>
      <c r="S46" s="191"/>
      <c r="T46" s="191">
        <v>281.88</v>
      </c>
      <c r="U46" s="232"/>
      <c r="V46" s="191"/>
      <c r="W46" s="192"/>
      <c r="X46" s="191"/>
      <c r="Y46" s="191"/>
      <c r="Z46" s="191"/>
      <c r="AA46" s="319"/>
      <c r="AB46" s="168"/>
      <c r="AC46" s="168"/>
      <c r="AD46" s="168"/>
      <c r="AE46" s="168"/>
      <c r="AF46" s="168"/>
      <c r="AG46" s="168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</row>
    <row r="47" spans="1:115" s="170" customFormat="1" ht="12" customHeight="1" x14ac:dyDescent="0.25">
      <c r="A47" s="273">
        <v>44637</v>
      </c>
      <c r="B47" s="231" t="s">
        <v>322</v>
      </c>
      <c r="C47" s="274" t="s">
        <v>145</v>
      </c>
      <c r="D47" s="285">
        <v>100</v>
      </c>
      <c r="E47" s="218"/>
      <c r="F47" s="219"/>
      <c r="G47" s="286"/>
      <c r="H47" s="304"/>
      <c r="I47" s="185">
        <v>100</v>
      </c>
      <c r="J47" s="185"/>
      <c r="K47" s="186"/>
      <c r="L47" s="185"/>
      <c r="M47" s="185"/>
      <c r="N47" s="185"/>
      <c r="O47" s="305"/>
      <c r="P47" s="318"/>
      <c r="Q47" s="191"/>
      <c r="R47" s="191"/>
      <c r="S47" s="191"/>
      <c r="T47" s="191"/>
      <c r="U47" s="232"/>
      <c r="V47" s="191"/>
      <c r="W47" s="192"/>
      <c r="X47" s="191"/>
      <c r="Y47" s="191"/>
      <c r="Z47" s="191"/>
      <c r="AA47" s="319"/>
      <c r="AB47" s="168"/>
      <c r="AC47" s="168"/>
      <c r="AD47" s="168"/>
      <c r="AE47" s="168"/>
      <c r="AF47" s="168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</row>
    <row r="48" spans="1:115" s="170" customFormat="1" ht="12" customHeight="1" x14ac:dyDescent="0.25">
      <c r="A48" s="273">
        <v>44637</v>
      </c>
      <c r="B48" s="231" t="s">
        <v>323</v>
      </c>
      <c r="C48" s="274" t="s">
        <v>145</v>
      </c>
      <c r="D48" s="285">
        <v>150</v>
      </c>
      <c r="E48" s="218"/>
      <c r="F48" s="219"/>
      <c r="G48" s="286"/>
      <c r="H48" s="304"/>
      <c r="I48" s="185">
        <v>150</v>
      </c>
      <c r="J48" s="185"/>
      <c r="K48" s="186"/>
      <c r="L48" s="185"/>
      <c r="M48" s="185"/>
      <c r="N48" s="185"/>
      <c r="O48" s="305"/>
      <c r="P48" s="318"/>
      <c r="Q48" s="191"/>
      <c r="R48" s="191"/>
      <c r="S48" s="191"/>
      <c r="T48" s="191"/>
      <c r="U48" s="232"/>
      <c r="V48" s="191"/>
      <c r="W48" s="192"/>
      <c r="X48" s="191"/>
      <c r="Y48" s="191"/>
      <c r="Z48" s="191"/>
      <c r="AA48" s="319"/>
      <c r="AB48" s="168"/>
      <c r="AC48" s="168"/>
      <c r="AD48" s="168"/>
      <c r="AE48" s="168"/>
      <c r="AF48" s="168"/>
      <c r="AG48" s="168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</row>
    <row r="49" spans="1:115" s="170" customFormat="1" ht="12" customHeight="1" x14ac:dyDescent="0.25">
      <c r="A49" s="273">
        <v>44637</v>
      </c>
      <c r="B49" s="231" t="s">
        <v>324</v>
      </c>
      <c r="C49" s="274" t="s">
        <v>145</v>
      </c>
      <c r="D49" s="285">
        <v>83.7</v>
      </c>
      <c r="E49" s="218"/>
      <c r="F49" s="219"/>
      <c r="G49" s="286"/>
      <c r="H49" s="304"/>
      <c r="I49" s="185"/>
      <c r="J49" s="185"/>
      <c r="K49" s="186">
        <v>83.7</v>
      </c>
      <c r="L49" s="185"/>
      <c r="M49" s="185"/>
      <c r="N49" s="185"/>
      <c r="O49" s="305"/>
      <c r="P49" s="318"/>
      <c r="Q49" s="191"/>
      <c r="R49" s="191"/>
      <c r="S49" s="191"/>
      <c r="T49" s="191"/>
      <c r="U49" s="232"/>
      <c r="V49" s="191"/>
      <c r="W49" s="192"/>
      <c r="X49" s="191"/>
      <c r="Y49" s="191"/>
      <c r="Z49" s="191"/>
      <c r="AA49" s="319"/>
      <c r="AB49" s="168"/>
      <c r="AC49" s="168"/>
      <c r="AD49" s="168"/>
      <c r="AE49" s="168"/>
      <c r="AF49" s="168"/>
      <c r="AG49" s="168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</row>
    <row r="50" spans="1:115" s="170" customFormat="1" ht="12" customHeight="1" x14ac:dyDescent="0.25">
      <c r="A50" s="273">
        <v>44638</v>
      </c>
      <c r="B50" s="231" t="s">
        <v>324</v>
      </c>
      <c r="C50" s="274" t="s">
        <v>145</v>
      </c>
      <c r="D50" s="285"/>
      <c r="E50" s="218"/>
      <c r="F50" s="219">
        <v>3</v>
      </c>
      <c r="G50" s="286"/>
      <c r="H50" s="304"/>
      <c r="I50" s="185"/>
      <c r="J50" s="185"/>
      <c r="K50" s="186">
        <v>3</v>
      </c>
      <c r="L50" s="185"/>
      <c r="M50" s="185"/>
      <c r="N50" s="185"/>
      <c r="O50" s="305"/>
      <c r="P50" s="318"/>
      <c r="Q50" s="191"/>
      <c r="R50" s="191"/>
      <c r="S50" s="191"/>
      <c r="T50" s="191"/>
      <c r="U50" s="232"/>
      <c r="V50" s="191"/>
      <c r="W50" s="192"/>
      <c r="X50" s="191"/>
      <c r="Y50" s="191"/>
      <c r="Z50" s="191"/>
      <c r="AA50" s="319"/>
      <c r="AB50" s="168"/>
      <c r="AC50" s="168"/>
      <c r="AD50" s="168"/>
      <c r="AE50" s="168"/>
      <c r="AF50" s="168"/>
      <c r="AG50" s="168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</row>
    <row r="51" spans="1:115" s="170" customFormat="1" ht="12" customHeight="1" x14ac:dyDescent="0.25">
      <c r="A51" s="273">
        <v>44638</v>
      </c>
      <c r="B51" s="231" t="s">
        <v>325</v>
      </c>
      <c r="C51" s="274" t="s">
        <v>145</v>
      </c>
      <c r="D51" s="285">
        <v>133</v>
      </c>
      <c r="E51" s="218"/>
      <c r="F51" s="219"/>
      <c r="G51" s="286"/>
      <c r="H51" s="304"/>
      <c r="I51" s="185"/>
      <c r="J51" s="185"/>
      <c r="K51" s="186">
        <v>133</v>
      </c>
      <c r="L51" s="185"/>
      <c r="M51" s="185"/>
      <c r="N51" s="185"/>
      <c r="O51" s="305"/>
      <c r="P51" s="318"/>
      <c r="Q51" s="191"/>
      <c r="R51" s="191"/>
      <c r="S51" s="191"/>
      <c r="T51" s="191"/>
      <c r="U51" s="232"/>
      <c r="V51" s="191"/>
      <c r="W51" s="192"/>
      <c r="X51" s="191"/>
      <c r="Y51" s="191"/>
      <c r="Z51" s="191"/>
      <c r="AA51" s="319"/>
      <c r="AB51" s="168"/>
      <c r="AC51" s="168"/>
      <c r="AD51" s="168"/>
      <c r="AE51" s="168"/>
      <c r="AF51" s="168"/>
      <c r="AG51" s="168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</row>
    <row r="52" spans="1:115" s="170" customFormat="1" ht="12" customHeight="1" x14ac:dyDescent="0.25">
      <c r="A52" s="273">
        <v>44638</v>
      </c>
      <c r="B52" s="231" t="s">
        <v>326</v>
      </c>
      <c r="C52" s="274" t="s">
        <v>145</v>
      </c>
      <c r="D52" s="285">
        <v>80</v>
      </c>
      <c r="E52" s="218"/>
      <c r="F52" s="219"/>
      <c r="G52" s="286"/>
      <c r="H52" s="304"/>
      <c r="I52" s="185"/>
      <c r="J52" s="185"/>
      <c r="K52" s="186">
        <v>80</v>
      </c>
      <c r="L52" s="185"/>
      <c r="M52" s="185"/>
      <c r="N52" s="185"/>
      <c r="O52" s="305"/>
      <c r="P52" s="318"/>
      <c r="Q52" s="191"/>
      <c r="R52" s="191"/>
      <c r="S52" s="191"/>
      <c r="T52" s="191"/>
      <c r="U52" s="232"/>
      <c r="V52" s="191"/>
      <c r="W52" s="192"/>
      <c r="X52" s="191"/>
      <c r="Y52" s="191"/>
      <c r="Z52" s="191"/>
      <c r="AA52" s="319"/>
      <c r="AB52" s="168"/>
      <c r="AC52" s="168"/>
      <c r="AD52" s="168"/>
      <c r="AE52" s="168"/>
      <c r="AF52" s="168"/>
      <c r="AG52" s="168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</row>
    <row r="53" spans="1:115" s="170" customFormat="1" ht="12" customHeight="1" x14ac:dyDescent="0.25">
      <c r="A53" s="273">
        <v>44638</v>
      </c>
      <c r="B53" s="231" t="s">
        <v>327</v>
      </c>
      <c r="C53" s="274" t="s">
        <v>145</v>
      </c>
      <c r="D53" s="285"/>
      <c r="E53" s="218"/>
      <c r="F53" s="219">
        <v>2</v>
      </c>
      <c r="G53" s="286"/>
      <c r="H53" s="304"/>
      <c r="I53" s="185"/>
      <c r="J53" s="185"/>
      <c r="K53" s="186">
        <v>2</v>
      </c>
      <c r="L53" s="185"/>
      <c r="M53" s="185"/>
      <c r="N53" s="185"/>
      <c r="O53" s="305"/>
      <c r="P53" s="318"/>
      <c r="Q53" s="191"/>
      <c r="R53" s="191"/>
      <c r="S53" s="191"/>
      <c r="T53" s="191"/>
      <c r="U53" s="232"/>
      <c r="V53" s="191"/>
      <c r="W53" s="192"/>
      <c r="X53" s="191"/>
      <c r="Y53" s="191"/>
      <c r="Z53" s="191"/>
      <c r="AA53" s="319"/>
      <c r="AB53" s="168"/>
      <c r="AC53" s="168"/>
      <c r="AD53" s="168"/>
      <c r="AE53" s="168"/>
      <c r="AF53" s="168"/>
      <c r="AG53" s="168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</row>
    <row r="54" spans="1:115" s="170" customFormat="1" ht="12" customHeight="1" x14ac:dyDescent="0.25">
      <c r="A54" s="273">
        <v>44638</v>
      </c>
      <c r="B54" s="231" t="s">
        <v>328</v>
      </c>
      <c r="C54" s="274" t="s">
        <v>145</v>
      </c>
      <c r="D54" s="285"/>
      <c r="E54" s="218"/>
      <c r="F54" s="219">
        <v>12</v>
      </c>
      <c r="G54" s="286"/>
      <c r="H54" s="304"/>
      <c r="I54" s="185"/>
      <c r="J54" s="185"/>
      <c r="K54" s="186">
        <v>12</v>
      </c>
      <c r="L54" s="185"/>
      <c r="M54" s="185"/>
      <c r="N54" s="185"/>
      <c r="O54" s="305"/>
      <c r="P54" s="318"/>
      <c r="Q54" s="191"/>
      <c r="R54" s="191"/>
      <c r="S54" s="191"/>
      <c r="T54" s="191"/>
      <c r="U54" s="232"/>
      <c r="V54" s="191"/>
      <c r="W54" s="192"/>
      <c r="X54" s="191"/>
      <c r="Y54" s="191"/>
      <c r="Z54" s="191"/>
      <c r="AA54" s="319"/>
      <c r="AB54" s="168"/>
      <c r="AC54" s="168"/>
      <c r="AD54" s="168"/>
      <c r="AE54" s="168"/>
      <c r="AF54" s="168"/>
      <c r="AG54" s="168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</row>
    <row r="55" spans="1:115" s="170" customFormat="1" ht="12" customHeight="1" x14ac:dyDescent="0.25">
      <c r="A55" s="273">
        <v>44638</v>
      </c>
      <c r="B55" s="231" t="s">
        <v>329</v>
      </c>
      <c r="C55" s="274" t="s">
        <v>145</v>
      </c>
      <c r="D55" s="285">
        <v>82</v>
      </c>
      <c r="E55" s="218"/>
      <c r="F55" s="219"/>
      <c r="G55" s="286"/>
      <c r="H55" s="304"/>
      <c r="I55" s="185"/>
      <c r="J55" s="185"/>
      <c r="K55" s="186">
        <v>82</v>
      </c>
      <c r="L55" s="185"/>
      <c r="M55" s="185"/>
      <c r="N55" s="185"/>
      <c r="O55" s="305"/>
      <c r="P55" s="318"/>
      <c r="Q55" s="191"/>
      <c r="R55" s="191"/>
      <c r="S55" s="191"/>
      <c r="T55" s="191"/>
      <c r="U55" s="232"/>
      <c r="V55" s="191"/>
      <c r="W55" s="192"/>
      <c r="X55" s="191"/>
      <c r="Y55" s="191"/>
      <c r="Z55" s="191"/>
      <c r="AA55" s="319"/>
      <c r="AB55" s="168"/>
      <c r="AC55" s="168"/>
      <c r="AD55" s="168"/>
      <c r="AE55" s="168"/>
      <c r="AF55" s="168"/>
      <c r="AG55" s="168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</row>
    <row r="56" spans="1:115" s="170" customFormat="1" ht="12" customHeight="1" x14ac:dyDescent="0.25">
      <c r="A56" s="273">
        <v>44638</v>
      </c>
      <c r="B56" s="231" t="s">
        <v>355</v>
      </c>
      <c r="C56" s="274" t="s">
        <v>145</v>
      </c>
      <c r="D56" s="285">
        <v>400</v>
      </c>
      <c r="E56" s="218"/>
      <c r="F56" s="219"/>
      <c r="G56" s="286"/>
      <c r="H56" s="304"/>
      <c r="I56" s="185">
        <v>400</v>
      </c>
      <c r="J56" s="185"/>
      <c r="K56" s="186"/>
      <c r="L56" s="185"/>
      <c r="M56" s="185"/>
      <c r="N56" s="185"/>
      <c r="O56" s="305"/>
      <c r="P56" s="318"/>
      <c r="Q56" s="191"/>
      <c r="R56" s="191"/>
      <c r="S56" s="191"/>
      <c r="T56" s="191"/>
      <c r="U56" s="232"/>
      <c r="V56" s="191"/>
      <c r="W56" s="192"/>
      <c r="X56" s="191"/>
      <c r="Y56" s="191"/>
      <c r="Z56" s="191"/>
      <c r="AA56" s="319"/>
      <c r="AB56" s="168"/>
      <c r="AC56" s="168"/>
      <c r="AD56" s="168"/>
      <c r="AE56" s="168"/>
      <c r="AF56" s="168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</row>
    <row r="57" spans="1:115" s="170" customFormat="1" ht="12" customHeight="1" x14ac:dyDescent="0.25">
      <c r="A57" s="273">
        <v>44640</v>
      </c>
      <c r="B57" s="231" t="s">
        <v>330</v>
      </c>
      <c r="C57" s="274" t="s">
        <v>145</v>
      </c>
      <c r="D57" s="285">
        <v>47.5</v>
      </c>
      <c r="E57" s="218"/>
      <c r="F57" s="219"/>
      <c r="G57" s="286"/>
      <c r="H57" s="304"/>
      <c r="I57" s="185"/>
      <c r="J57" s="185"/>
      <c r="K57" s="186">
        <v>47.5</v>
      </c>
      <c r="L57" s="185"/>
      <c r="M57" s="185"/>
      <c r="N57" s="185"/>
      <c r="O57" s="305"/>
      <c r="P57" s="318"/>
      <c r="Q57" s="191"/>
      <c r="R57" s="191"/>
      <c r="S57" s="191"/>
      <c r="T57" s="191"/>
      <c r="U57" s="232"/>
      <c r="V57" s="191"/>
      <c r="W57" s="192"/>
      <c r="X57" s="191"/>
      <c r="Y57" s="191"/>
      <c r="Z57" s="191"/>
      <c r="AA57" s="319"/>
      <c r="AB57" s="168"/>
      <c r="AC57" s="168"/>
      <c r="AD57" s="168"/>
      <c r="AE57" s="168"/>
      <c r="AF57" s="168"/>
      <c r="AG57" s="168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</row>
    <row r="58" spans="1:115" s="170" customFormat="1" ht="12" customHeight="1" x14ac:dyDescent="0.25">
      <c r="A58" s="273">
        <v>44642</v>
      </c>
      <c r="B58" s="231" t="s">
        <v>171</v>
      </c>
      <c r="C58" s="274" t="s">
        <v>145</v>
      </c>
      <c r="D58" s="285">
        <v>100.8</v>
      </c>
      <c r="E58" s="218"/>
      <c r="F58" s="219"/>
      <c r="G58" s="286"/>
      <c r="H58" s="304"/>
      <c r="I58" s="185">
        <v>100.8</v>
      </c>
      <c r="J58" s="185"/>
      <c r="K58" s="186"/>
      <c r="L58" s="185"/>
      <c r="M58" s="185"/>
      <c r="N58" s="185"/>
      <c r="O58" s="305"/>
      <c r="P58" s="318"/>
      <c r="Q58" s="191"/>
      <c r="R58" s="191"/>
      <c r="S58" s="191"/>
      <c r="T58" s="191"/>
      <c r="U58" s="232"/>
      <c r="V58" s="191"/>
      <c r="W58" s="192"/>
      <c r="X58" s="191"/>
      <c r="Y58" s="191"/>
      <c r="Z58" s="191"/>
      <c r="AA58" s="319"/>
      <c r="AB58" s="168"/>
      <c r="AC58" s="168"/>
      <c r="AD58" s="168"/>
      <c r="AE58" s="168"/>
      <c r="AF58" s="168"/>
      <c r="AG58" s="168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</row>
    <row r="59" spans="1:115" s="170" customFormat="1" ht="12" customHeight="1" x14ac:dyDescent="0.25">
      <c r="A59" s="273">
        <v>44643</v>
      </c>
      <c r="B59" s="231" t="s">
        <v>211</v>
      </c>
      <c r="C59" s="274" t="s">
        <v>145</v>
      </c>
      <c r="D59" s="285"/>
      <c r="E59" s="218">
        <v>9.48</v>
      </c>
      <c r="F59" s="219"/>
      <c r="G59" s="286"/>
      <c r="H59" s="304"/>
      <c r="I59" s="185"/>
      <c r="J59" s="185"/>
      <c r="K59" s="186"/>
      <c r="L59" s="185"/>
      <c r="M59" s="185"/>
      <c r="N59" s="185"/>
      <c r="O59" s="305"/>
      <c r="P59" s="318"/>
      <c r="Q59" s="191"/>
      <c r="R59" s="191"/>
      <c r="S59" s="191"/>
      <c r="T59" s="191"/>
      <c r="U59" s="232"/>
      <c r="V59" s="191"/>
      <c r="W59" s="192"/>
      <c r="X59" s="191"/>
      <c r="Y59" s="191">
        <v>9.48</v>
      </c>
      <c r="Z59" s="191"/>
      <c r="AA59" s="319"/>
      <c r="AB59" s="168"/>
      <c r="AC59" s="168"/>
      <c r="AD59" s="168"/>
      <c r="AE59" s="168"/>
      <c r="AF59" s="168"/>
      <c r="AG59" s="168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</row>
    <row r="60" spans="1:115" s="170" customFormat="1" ht="12" customHeight="1" x14ac:dyDescent="0.25">
      <c r="A60" s="273">
        <v>44645</v>
      </c>
      <c r="B60" s="231" t="s">
        <v>208</v>
      </c>
      <c r="C60" s="274" t="s">
        <v>145</v>
      </c>
      <c r="D60" s="285"/>
      <c r="E60" s="218">
        <v>172.8</v>
      </c>
      <c r="F60" s="219"/>
      <c r="G60" s="286"/>
      <c r="H60" s="304"/>
      <c r="I60" s="185"/>
      <c r="J60" s="185"/>
      <c r="K60" s="186"/>
      <c r="L60" s="185"/>
      <c r="M60" s="185"/>
      <c r="N60" s="185"/>
      <c r="O60" s="305"/>
      <c r="P60" s="318"/>
      <c r="Q60" s="191"/>
      <c r="R60" s="191"/>
      <c r="S60" s="191"/>
      <c r="T60" s="191"/>
      <c r="U60" s="232"/>
      <c r="V60" s="191">
        <v>172.8</v>
      </c>
      <c r="W60" s="192"/>
      <c r="X60" s="191"/>
      <c r="Y60" s="191"/>
      <c r="Z60" s="191"/>
      <c r="AA60" s="319"/>
      <c r="AB60" s="168"/>
      <c r="AC60" s="168"/>
      <c r="AD60" s="168"/>
      <c r="AE60" s="168"/>
      <c r="AF60" s="168"/>
      <c r="AG60" s="168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</row>
    <row r="61" spans="1:115" s="170" customFormat="1" ht="12" customHeight="1" x14ac:dyDescent="0.25">
      <c r="A61" s="273">
        <v>44645</v>
      </c>
      <c r="B61" s="231" t="s">
        <v>331</v>
      </c>
      <c r="C61" s="274" t="s">
        <v>145</v>
      </c>
      <c r="D61" s="285"/>
      <c r="E61" s="218"/>
      <c r="F61" s="219">
        <v>36</v>
      </c>
      <c r="G61" s="286"/>
      <c r="H61" s="304"/>
      <c r="I61" s="185"/>
      <c r="J61" s="185"/>
      <c r="K61" s="186">
        <v>36</v>
      </c>
      <c r="L61" s="185"/>
      <c r="M61" s="185"/>
      <c r="N61" s="185"/>
      <c r="O61" s="305"/>
      <c r="P61" s="318"/>
      <c r="Q61" s="191"/>
      <c r="R61" s="191"/>
      <c r="S61" s="191"/>
      <c r="T61" s="191"/>
      <c r="U61" s="232"/>
      <c r="V61" s="191"/>
      <c r="W61" s="192"/>
      <c r="X61" s="191"/>
      <c r="Y61" s="191"/>
      <c r="Z61" s="191"/>
      <c r="AA61" s="319"/>
      <c r="AB61" s="168"/>
      <c r="AC61" s="168"/>
      <c r="AD61" s="168"/>
      <c r="AE61" s="168"/>
      <c r="AF61" s="168"/>
      <c r="AG61" s="168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</row>
    <row r="62" spans="1:115" s="170" customFormat="1" ht="12" customHeight="1" x14ac:dyDescent="0.25">
      <c r="A62" s="273">
        <v>44645</v>
      </c>
      <c r="B62" s="231" t="s">
        <v>332</v>
      </c>
      <c r="C62" s="274" t="s">
        <v>145</v>
      </c>
      <c r="D62" s="285"/>
      <c r="E62" s="218"/>
      <c r="F62" s="219">
        <v>38.5</v>
      </c>
      <c r="G62" s="286"/>
      <c r="H62" s="304"/>
      <c r="I62" s="185"/>
      <c r="J62" s="185"/>
      <c r="K62" s="186">
        <v>38.5</v>
      </c>
      <c r="L62" s="185"/>
      <c r="M62" s="185"/>
      <c r="N62" s="185"/>
      <c r="O62" s="305"/>
      <c r="P62" s="318"/>
      <c r="Q62" s="191"/>
      <c r="R62" s="191"/>
      <c r="S62" s="191"/>
      <c r="T62" s="191"/>
      <c r="U62" s="232"/>
      <c r="V62" s="191"/>
      <c r="W62" s="192"/>
      <c r="X62" s="191"/>
      <c r="Y62" s="191"/>
      <c r="Z62" s="191"/>
      <c r="AA62" s="319"/>
      <c r="AB62" s="168"/>
      <c r="AC62" s="168"/>
      <c r="AD62" s="168"/>
      <c r="AE62" s="168"/>
      <c r="AF62" s="168"/>
      <c r="AG62" s="168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</row>
    <row r="63" spans="1:115" s="170" customFormat="1" ht="12" customHeight="1" x14ac:dyDescent="0.25">
      <c r="A63" s="273">
        <v>44645</v>
      </c>
      <c r="B63" s="231" t="s">
        <v>332</v>
      </c>
      <c r="C63" s="274" t="s">
        <v>145</v>
      </c>
      <c r="D63" s="285"/>
      <c r="E63" s="218"/>
      <c r="F63" s="219">
        <v>12</v>
      </c>
      <c r="G63" s="286"/>
      <c r="H63" s="304"/>
      <c r="I63" s="185"/>
      <c r="J63" s="185"/>
      <c r="K63" s="186">
        <v>12</v>
      </c>
      <c r="L63" s="185"/>
      <c r="M63" s="185"/>
      <c r="N63" s="185"/>
      <c r="O63" s="305"/>
      <c r="P63" s="318"/>
      <c r="Q63" s="191"/>
      <c r="R63" s="191"/>
      <c r="S63" s="191"/>
      <c r="T63" s="191"/>
      <c r="U63" s="232"/>
      <c r="V63" s="191"/>
      <c r="W63" s="192"/>
      <c r="X63" s="191"/>
      <c r="Y63" s="191"/>
      <c r="Z63" s="191"/>
      <c r="AA63" s="319"/>
      <c r="AB63" s="168"/>
      <c r="AC63" s="168"/>
      <c r="AD63" s="168"/>
      <c r="AE63" s="168"/>
      <c r="AF63" s="168"/>
      <c r="AG63" s="168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</row>
    <row r="64" spans="1:115" s="170" customFormat="1" ht="12" customHeight="1" x14ac:dyDescent="0.25">
      <c r="A64" s="273">
        <v>44645</v>
      </c>
      <c r="B64" s="231" t="s">
        <v>333</v>
      </c>
      <c r="C64" s="274" t="s">
        <v>145</v>
      </c>
      <c r="D64" s="285">
        <v>19.5</v>
      </c>
      <c r="E64" s="218"/>
      <c r="F64" s="219"/>
      <c r="G64" s="286"/>
      <c r="H64" s="304"/>
      <c r="I64" s="185"/>
      <c r="J64" s="185"/>
      <c r="K64" s="186">
        <v>19.5</v>
      </c>
      <c r="L64" s="185"/>
      <c r="M64" s="185"/>
      <c r="N64" s="185"/>
      <c r="O64" s="305"/>
      <c r="P64" s="318"/>
      <c r="Q64" s="191"/>
      <c r="R64" s="191"/>
      <c r="S64" s="191"/>
      <c r="T64" s="191"/>
      <c r="U64" s="232"/>
      <c r="V64" s="191"/>
      <c r="W64" s="192"/>
      <c r="X64" s="191"/>
      <c r="Y64" s="191"/>
      <c r="Z64" s="191"/>
      <c r="AA64" s="319"/>
      <c r="AB64" s="168"/>
      <c r="AC64" s="168"/>
      <c r="AD64" s="168"/>
      <c r="AE64" s="168"/>
      <c r="AF64" s="168"/>
      <c r="AG64" s="168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</row>
    <row r="65" spans="1:115" s="170" customFormat="1" ht="12" customHeight="1" x14ac:dyDescent="0.25">
      <c r="A65" s="273">
        <v>44645</v>
      </c>
      <c r="B65" s="231" t="s">
        <v>334</v>
      </c>
      <c r="C65" s="274" t="s">
        <v>145</v>
      </c>
      <c r="D65" s="285">
        <v>60</v>
      </c>
      <c r="E65" s="218"/>
      <c r="F65" s="219"/>
      <c r="G65" s="286"/>
      <c r="H65" s="304"/>
      <c r="I65" s="185"/>
      <c r="J65" s="185"/>
      <c r="K65" s="186">
        <v>60</v>
      </c>
      <c r="L65" s="185"/>
      <c r="M65" s="185"/>
      <c r="N65" s="185"/>
      <c r="O65" s="305"/>
      <c r="P65" s="318"/>
      <c r="Q65" s="191"/>
      <c r="R65" s="191"/>
      <c r="S65" s="191"/>
      <c r="T65" s="191"/>
      <c r="U65" s="232"/>
      <c r="V65" s="191"/>
      <c r="W65" s="192"/>
      <c r="X65" s="191"/>
      <c r="Y65" s="191"/>
      <c r="Z65" s="191"/>
      <c r="AA65" s="319"/>
      <c r="AB65" s="168"/>
      <c r="AC65" s="168"/>
      <c r="AD65" s="168"/>
      <c r="AE65" s="168"/>
      <c r="AF65" s="168"/>
      <c r="AG65" s="168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</row>
    <row r="66" spans="1:115" s="170" customFormat="1" ht="12" customHeight="1" x14ac:dyDescent="0.25">
      <c r="A66" s="273">
        <v>44645</v>
      </c>
      <c r="B66" s="231" t="s">
        <v>335</v>
      </c>
      <c r="C66" s="274" t="s">
        <v>145</v>
      </c>
      <c r="D66" s="285"/>
      <c r="E66" s="218"/>
      <c r="F66" s="219">
        <v>34</v>
      </c>
      <c r="G66" s="286"/>
      <c r="H66" s="304"/>
      <c r="I66" s="185"/>
      <c r="J66" s="185"/>
      <c r="K66" s="186">
        <v>34</v>
      </c>
      <c r="L66" s="185"/>
      <c r="M66" s="185"/>
      <c r="N66" s="185"/>
      <c r="O66" s="305"/>
      <c r="P66" s="318"/>
      <c r="Q66" s="191"/>
      <c r="R66" s="191"/>
      <c r="S66" s="191"/>
      <c r="T66" s="191"/>
      <c r="U66" s="232"/>
      <c r="V66" s="191"/>
      <c r="W66" s="192"/>
      <c r="X66" s="191"/>
      <c r="Y66" s="191"/>
      <c r="Z66" s="191"/>
      <c r="AA66" s="319"/>
      <c r="AB66" s="168"/>
      <c r="AC66" s="168"/>
      <c r="AD66" s="168"/>
      <c r="AE66" s="168"/>
      <c r="AF66" s="168"/>
      <c r="AG66" s="168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</row>
    <row r="67" spans="1:115" s="170" customFormat="1" ht="12" customHeight="1" x14ac:dyDescent="0.25">
      <c r="A67" s="273">
        <v>44645</v>
      </c>
      <c r="B67" s="231" t="s">
        <v>336</v>
      </c>
      <c r="C67" s="274" t="s">
        <v>145</v>
      </c>
      <c r="D67" s="285"/>
      <c r="E67" s="218"/>
      <c r="F67" s="219">
        <v>46</v>
      </c>
      <c r="G67" s="286"/>
      <c r="H67" s="304"/>
      <c r="I67" s="185"/>
      <c r="J67" s="185"/>
      <c r="K67" s="186">
        <v>46</v>
      </c>
      <c r="L67" s="185"/>
      <c r="M67" s="185"/>
      <c r="N67" s="185"/>
      <c r="O67" s="305"/>
      <c r="P67" s="318"/>
      <c r="Q67" s="191"/>
      <c r="R67" s="191"/>
      <c r="S67" s="191"/>
      <c r="T67" s="191"/>
      <c r="U67" s="232"/>
      <c r="V67" s="191"/>
      <c r="W67" s="192"/>
      <c r="X67" s="191"/>
      <c r="Y67" s="191"/>
      <c r="Z67" s="191"/>
      <c r="AA67" s="319"/>
      <c r="AB67" s="168"/>
      <c r="AC67" s="168"/>
      <c r="AD67" s="168"/>
      <c r="AE67" s="168"/>
      <c r="AF67" s="168"/>
      <c r="AG67" s="168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</row>
    <row r="68" spans="1:115" s="170" customFormat="1" ht="12" customHeight="1" x14ac:dyDescent="0.25">
      <c r="A68" s="273">
        <v>44646</v>
      </c>
      <c r="B68" s="231" t="s">
        <v>337</v>
      </c>
      <c r="C68" s="274" t="s">
        <v>145</v>
      </c>
      <c r="D68" s="285">
        <v>318.7</v>
      </c>
      <c r="E68" s="218"/>
      <c r="F68" s="219"/>
      <c r="G68" s="286">
        <v>318.7</v>
      </c>
      <c r="H68" s="304"/>
      <c r="I68" s="185"/>
      <c r="J68" s="185"/>
      <c r="K68" s="186"/>
      <c r="L68" s="185"/>
      <c r="M68" s="185"/>
      <c r="N68" s="185"/>
      <c r="O68" s="305"/>
      <c r="P68" s="318"/>
      <c r="Q68" s="191"/>
      <c r="R68" s="191"/>
      <c r="S68" s="191"/>
      <c r="T68" s="191"/>
      <c r="U68" s="232"/>
      <c r="V68" s="191"/>
      <c r="W68" s="192"/>
      <c r="X68" s="191"/>
      <c r="Y68" s="191"/>
      <c r="Z68" s="191"/>
      <c r="AA68" s="319"/>
      <c r="AB68" s="168"/>
      <c r="AC68" s="168"/>
      <c r="AD68" s="168"/>
      <c r="AE68" s="168"/>
      <c r="AF68" s="168"/>
      <c r="AG68" s="168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</row>
    <row r="69" spans="1:115" s="170" customFormat="1" ht="12" customHeight="1" x14ac:dyDescent="0.25">
      <c r="A69" s="273">
        <v>44647</v>
      </c>
      <c r="B69" s="231" t="s">
        <v>338</v>
      </c>
      <c r="C69" s="274" t="s">
        <v>145</v>
      </c>
      <c r="D69" s="285">
        <v>50</v>
      </c>
      <c r="E69" s="218"/>
      <c r="F69" s="219"/>
      <c r="G69" s="286"/>
      <c r="H69" s="304"/>
      <c r="I69" s="185">
        <v>50</v>
      </c>
      <c r="J69" s="185"/>
      <c r="K69" s="186"/>
      <c r="L69" s="185"/>
      <c r="M69" s="185"/>
      <c r="N69" s="185"/>
      <c r="O69" s="305"/>
      <c r="P69" s="318"/>
      <c r="Q69" s="191"/>
      <c r="R69" s="191"/>
      <c r="S69" s="191"/>
      <c r="T69" s="191"/>
      <c r="U69" s="232"/>
      <c r="V69" s="191"/>
      <c r="W69" s="192"/>
      <c r="X69" s="191"/>
      <c r="Y69" s="191"/>
      <c r="Z69" s="191"/>
      <c r="AA69" s="319"/>
      <c r="AB69" s="168"/>
      <c r="AC69" s="168"/>
      <c r="AD69" s="168"/>
      <c r="AE69" s="168"/>
      <c r="AF69" s="168"/>
      <c r="AG69" s="168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</row>
    <row r="70" spans="1:115" s="170" customFormat="1" ht="12" customHeight="1" x14ac:dyDescent="0.25">
      <c r="A70" s="273">
        <v>44648</v>
      </c>
      <c r="B70" s="231" t="s">
        <v>340</v>
      </c>
      <c r="C70" s="274" t="s">
        <v>145</v>
      </c>
      <c r="D70" s="285"/>
      <c r="E70" s="218">
        <v>370.5</v>
      </c>
      <c r="F70" s="219"/>
      <c r="G70" s="286"/>
      <c r="H70" s="304"/>
      <c r="I70" s="185"/>
      <c r="J70" s="185"/>
      <c r="K70" s="186"/>
      <c r="L70" s="185"/>
      <c r="M70" s="185"/>
      <c r="N70" s="185"/>
      <c r="O70" s="305"/>
      <c r="P70" s="318"/>
      <c r="Q70" s="191"/>
      <c r="R70" s="191"/>
      <c r="S70" s="191"/>
      <c r="T70" s="191">
        <v>370.5</v>
      </c>
      <c r="U70" s="232"/>
      <c r="V70" s="191"/>
      <c r="W70" s="192"/>
      <c r="X70" s="191"/>
      <c r="Y70" s="191"/>
      <c r="Z70" s="191"/>
      <c r="AA70" s="319"/>
      <c r="AB70" s="168"/>
      <c r="AC70" s="168"/>
      <c r="AD70" s="168"/>
      <c r="AE70" s="168"/>
      <c r="AF70" s="168"/>
      <c r="AG70" s="168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</row>
    <row r="71" spans="1:115" s="170" customFormat="1" ht="12" customHeight="1" x14ac:dyDescent="0.25">
      <c r="A71" s="273">
        <v>44649</v>
      </c>
      <c r="B71" s="231" t="s">
        <v>341</v>
      </c>
      <c r="C71" s="274" t="s">
        <v>145</v>
      </c>
      <c r="D71" s="285">
        <v>118</v>
      </c>
      <c r="E71" s="218"/>
      <c r="F71" s="219"/>
      <c r="G71" s="286"/>
      <c r="H71" s="304"/>
      <c r="I71" s="185">
        <v>118</v>
      </c>
      <c r="J71" s="185"/>
      <c r="K71" s="186"/>
      <c r="L71" s="185"/>
      <c r="M71" s="185"/>
      <c r="N71" s="185"/>
      <c r="O71" s="305"/>
      <c r="P71" s="318"/>
      <c r="Q71" s="191"/>
      <c r="R71" s="191"/>
      <c r="S71" s="191"/>
      <c r="T71" s="191"/>
      <c r="U71" s="232"/>
      <c r="V71" s="191"/>
      <c r="W71" s="192"/>
      <c r="X71" s="191"/>
      <c r="Y71" s="191"/>
      <c r="Z71" s="191"/>
      <c r="AA71" s="319"/>
      <c r="AB71" s="168"/>
      <c r="AC71" s="168"/>
      <c r="AD71" s="168"/>
      <c r="AE71" s="168"/>
      <c r="AF71" s="168"/>
      <c r="AG71" s="168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</row>
    <row r="72" spans="1:115" s="170" customFormat="1" ht="12" customHeight="1" x14ac:dyDescent="0.25">
      <c r="A72" s="273">
        <v>44650</v>
      </c>
      <c r="B72" s="231" t="s">
        <v>342</v>
      </c>
      <c r="C72" s="274" t="s">
        <v>145</v>
      </c>
      <c r="D72" s="285">
        <v>120</v>
      </c>
      <c r="E72" s="218"/>
      <c r="F72" s="219"/>
      <c r="G72" s="286"/>
      <c r="H72" s="304"/>
      <c r="I72" s="185">
        <v>120</v>
      </c>
      <c r="J72" s="185"/>
      <c r="K72" s="186"/>
      <c r="L72" s="185"/>
      <c r="M72" s="185"/>
      <c r="N72" s="185"/>
      <c r="O72" s="305"/>
      <c r="P72" s="318"/>
      <c r="Q72" s="191"/>
      <c r="R72" s="191"/>
      <c r="S72" s="191"/>
      <c r="T72" s="191"/>
      <c r="U72" s="232"/>
      <c r="V72" s="191"/>
      <c r="W72" s="192"/>
      <c r="X72" s="191"/>
      <c r="Y72" s="191"/>
      <c r="Z72" s="191"/>
      <c r="AA72" s="319"/>
      <c r="AB72" s="168"/>
      <c r="AC72" s="168"/>
      <c r="AD72" s="168"/>
      <c r="AE72" s="168"/>
      <c r="AF72" s="168"/>
      <c r="AG72" s="168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</row>
    <row r="73" spans="1:115" s="170" customFormat="1" ht="12" customHeight="1" x14ac:dyDescent="0.25">
      <c r="A73" s="273">
        <v>44650</v>
      </c>
      <c r="B73" s="231" t="s">
        <v>344</v>
      </c>
      <c r="C73" s="274" t="s">
        <v>145</v>
      </c>
      <c r="D73" s="285">
        <v>100</v>
      </c>
      <c r="E73" s="218"/>
      <c r="F73" s="219"/>
      <c r="G73" s="286"/>
      <c r="H73" s="304"/>
      <c r="I73" s="185">
        <v>100</v>
      </c>
      <c r="J73" s="185"/>
      <c r="K73" s="186"/>
      <c r="L73" s="185"/>
      <c r="M73" s="185"/>
      <c r="N73" s="185"/>
      <c r="O73" s="305"/>
      <c r="P73" s="318"/>
      <c r="Q73" s="191"/>
      <c r="R73" s="191"/>
      <c r="S73" s="191"/>
      <c r="T73" s="191"/>
      <c r="U73" s="232"/>
      <c r="V73" s="191"/>
      <c r="W73" s="192"/>
      <c r="X73" s="191"/>
      <c r="Y73" s="191"/>
      <c r="Z73" s="191"/>
      <c r="AA73" s="319"/>
      <c r="AB73" s="168"/>
      <c r="AC73" s="168"/>
      <c r="AD73" s="168"/>
      <c r="AE73" s="168"/>
      <c r="AF73" s="168"/>
      <c r="AG73" s="168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</row>
    <row r="74" spans="1:115" s="170" customFormat="1" ht="12" customHeight="1" x14ac:dyDescent="0.25">
      <c r="A74" s="273">
        <v>44650</v>
      </c>
      <c r="B74" s="231" t="s">
        <v>346</v>
      </c>
      <c r="C74" s="274" t="s">
        <v>145</v>
      </c>
      <c r="D74" s="285">
        <v>75</v>
      </c>
      <c r="E74" s="218"/>
      <c r="F74" s="219"/>
      <c r="G74" s="286"/>
      <c r="H74" s="304"/>
      <c r="I74" s="185">
        <v>75</v>
      </c>
      <c r="J74" s="185"/>
      <c r="K74" s="186"/>
      <c r="L74" s="185"/>
      <c r="M74" s="185"/>
      <c r="N74" s="185"/>
      <c r="O74" s="305"/>
      <c r="P74" s="318"/>
      <c r="Q74" s="191"/>
      <c r="R74" s="191"/>
      <c r="S74" s="191"/>
      <c r="T74" s="191"/>
      <c r="U74" s="232"/>
      <c r="V74" s="191"/>
      <c r="W74" s="192"/>
      <c r="X74" s="191"/>
      <c r="Y74" s="191"/>
      <c r="Z74" s="191"/>
      <c r="AA74" s="319"/>
      <c r="AB74" s="168"/>
      <c r="AC74" s="168"/>
      <c r="AD74" s="168"/>
      <c r="AE74" s="168"/>
      <c r="AF74" s="168"/>
      <c r="AG74" s="168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</row>
    <row r="75" spans="1:115" s="170" customFormat="1" ht="12" customHeight="1" x14ac:dyDescent="0.25">
      <c r="A75" s="273">
        <v>44651</v>
      </c>
      <c r="B75" s="231" t="s">
        <v>215</v>
      </c>
      <c r="C75" s="274" t="s">
        <v>145</v>
      </c>
      <c r="D75" s="285"/>
      <c r="E75" s="218">
        <v>60</v>
      </c>
      <c r="F75" s="219"/>
      <c r="G75" s="286"/>
      <c r="H75" s="304"/>
      <c r="I75" s="185"/>
      <c r="J75" s="185"/>
      <c r="K75" s="186"/>
      <c r="L75" s="185"/>
      <c r="M75" s="185"/>
      <c r="N75" s="185"/>
      <c r="O75" s="305"/>
      <c r="P75" s="318"/>
      <c r="Q75" s="191"/>
      <c r="R75" s="191"/>
      <c r="S75" s="191"/>
      <c r="T75" s="191"/>
      <c r="U75" s="232"/>
      <c r="V75" s="191">
        <v>60</v>
      </c>
      <c r="W75" s="192"/>
      <c r="X75" s="191"/>
      <c r="Y75" s="191"/>
      <c r="Z75" s="191"/>
      <c r="AA75" s="319"/>
      <c r="AB75" s="168"/>
      <c r="AC75" s="168"/>
      <c r="AD75" s="168"/>
      <c r="AE75" s="168"/>
      <c r="AF75" s="168"/>
      <c r="AG75" s="168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</row>
    <row r="76" spans="1:115" s="9" customFormat="1" ht="11" thickBot="1" x14ac:dyDescent="0.3">
      <c r="A76" s="277" t="s">
        <v>25</v>
      </c>
      <c r="B76" s="278"/>
      <c r="C76" s="279"/>
      <c r="D76" s="289">
        <f t="shared" ref="D76:AA76" si="0">SUM(D6:D75)</f>
        <v>4948.34</v>
      </c>
      <c r="E76" s="290">
        <f t="shared" si="0"/>
        <v>1734.24</v>
      </c>
      <c r="F76" s="291">
        <f t="shared" si="0"/>
        <v>594</v>
      </c>
      <c r="G76" s="292">
        <f t="shared" si="0"/>
        <v>594</v>
      </c>
      <c r="H76" s="289">
        <f t="shared" si="0"/>
        <v>39.299999999999997</v>
      </c>
      <c r="I76" s="290">
        <f t="shared" si="0"/>
        <v>3619.1400000000003</v>
      </c>
      <c r="J76" s="290">
        <f t="shared" si="0"/>
        <v>0</v>
      </c>
      <c r="K76" s="290">
        <f t="shared" si="0"/>
        <v>1289.9000000000001</v>
      </c>
      <c r="L76" s="290">
        <f t="shared" si="0"/>
        <v>0</v>
      </c>
      <c r="M76" s="290">
        <f t="shared" si="0"/>
        <v>0</v>
      </c>
      <c r="N76" s="290">
        <f t="shared" si="0"/>
        <v>0</v>
      </c>
      <c r="O76" s="308">
        <f t="shared" si="0"/>
        <v>0</v>
      </c>
      <c r="P76" s="322">
        <f t="shared" si="0"/>
        <v>0</v>
      </c>
      <c r="Q76" s="323">
        <f t="shared" si="0"/>
        <v>7.99</v>
      </c>
      <c r="R76" s="323">
        <f t="shared" si="0"/>
        <v>0</v>
      </c>
      <c r="S76" s="323">
        <f t="shared" si="0"/>
        <v>10</v>
      </c>
      <c r="T76" s="323">
        <f t="shared" si="0"/>
        <v>1424.38</v>
      </c>
      <c r="U76" s="323">
        <f t="shared" si="0"/>
        <v>0</v>
      </c>
      <c r="V76" s="323">
        <f t="shared" si="0"/>
        <v>262.79000000000002</v>
      </c>
      <c r="W76" s="323">
        <f t="shared" si="0"/>
        <v>10.44</v>
      </c>
      <c r="X76" s="323">
        <f t="shared" si="0"/>
        <v>0</v>
      </c>
      <c r="Y76" s="323">
        <f t="shared" si="0"/>
        <v>18.64</v>
      </c>
      <c r="Z76" s="323">
        <f t="shared" si="0"/>
        <v>0</v>
      </c>
      <c r="AA76" s="324">
        <f t="shared" si="0"/>
        <v>0</v>
      </c>
      <c r="AB76" s="37"/>
      <c r="AC76" s="37"/>
      <c r="AD76" s="37"/>
      <c r="AE76" s="37"/>
      <c r="AF76" s="37"/>
      <c r="AG76" s="37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</row>
    <row r="77" spans="1:115" s="38" customFormat="1" ht="11.5" thickTop="1" thickBot="1" x14ac:dyDescent="0.3">
      <c r="A77" s="326"/>
      <c r="B77" s="327"/>
      <c r="C77" s="328"/>
      <c r="D77" s="336"/>
      <c r="E77" s="337"/>
      <c r="F77" s="338"/>
      <c r="G77" s="339"/>
      <c r="H77" s="353"/>
      <c r="I77" s="338"/>
      <c r="J77" s="338"/>
      <c r="K77" s="354"/>
      <c r="L77" s="338"/>
      <c r="M77" s="338"/>
      <c r="N77" s="355"/>
      <c r="O77" s="339"/>
      <c r="P77" s="372"/>
      <c r="Q77" s="373"/>
      <c r="R77" s="373"/>
      <c r="S77" s="373"/>
      <c r="T77" s="374"/>
      <c r="U77" s="373"/>
      <c r="V77" s="373"/>
      <c r="W77" s="375"/>
      <c r="X77" s="376"/>
      <c r="Y77" s="376"/>
      <c r="Z77" s="376"/>
      <c r="AA77" s="377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</row>
    <row r="78" spans="1:115" s="6" customFormat="1" ht="53.5" thickTop="1" thickBot="1" x14ac:dyDescent="0.3">
      <c r="A78" s="329" t="s">
        <v>1</v>
      </c>
      <c r="B78" s="12" t="s">
        <v>2</v>
      </c>
      <c r="C78" s="330"/>
      <c r="D78" s="340" t="s">
        <v>3</v>
      </c>
      <c r="E78" s="233"/>
      <c r="F78" s="233" t="s">
        <v>4</v>
      </c>
      <c r="G78" s="341"/>
      <c r="H78" s="356" t="s">
        <v>5</v>
      </c>
      <c r="I78" s="13" t="s">
        <v>6</v>
      </c>
      <c r="J78" s="13" t="s">
        <v>7</v>
      </c>
      <c r="K78" s="14" t="s">
        <v>8</v>
      </c>
      <c r="L78" s="15" t="s">
        <v>9</v>
      </c>
      <c r="M78" s="14" t="s">
        <v>10</v>
      </c>
      <c r="N78" s="14" t="s">
        <v>11</v>
      </c>
      <c r="O78" s="357" t="s">
        <v>12</v>
      </c>
      <c r="P78" s="293" t="s">
        <v>13</v>
      </c>
      <c r="Q78" s="297" t="s">
        <v>98</v>
      </c>
      <c r="R78" s="309" t="s">
        <v>14</v>
      </c>
      <c r="S78" s="310" t="s">
        <v>15</v>
      </c>
      <c r="T78" s="311" t="s">
        <v>16</v>
      </c>
      <c r="U78" s="297" t="s">
        <v>17</v>
      </c>
      <c r="V78" s="297" t="s">
        <v>18</v>
      </c>
      <c r="W78" s="294" t="s">
        <v>63</v>
      </c>
      <c r="X78" s="312" t="s">
        <v>19</v>
      </c>
      <c r="Y78" s="297" t="s">
        <v>65</v>
      </c>
      <c r="Z78" s="297" t="s">
        <v>102</v>
      </c>
      <c r="AA78" s="298" t="s">
        <v>104</v>
      </c>
    </row>
    <row r="79" spans="1:115" s="6" customFormat="1" ht="11" thickBot="1" x14ac:dyDescent="0.3">
      <c r="A79" s="331"/>
      <c r="B79" s="16"/>
      <c r="C79" s="332"/>
      <c r="D79" s="342" t="s">
        <v>22</v>
      </c>
      <c r="E79" s="39" t="s">
        <v>23</v>
      </c>
      <c r="F79" s="16" t="s">
        <v>22</v>
      </c>
      <c r="G79" s="343" t="s">
        <v>23</v>
      </c>
      <c r="H79" s="331" t="s">
        <v>22</v>
      </c>
      <c r="I79" s="16" t="s">
        <v>22</v>
      </c>
      <c r="J79" s="16" t="s">
        <v>22</v>
      </c>
      <c r="K79" s="17" t="s">
        <v>22</v>
      </c>
      <c r="L79" s="18" t="s">
        <v>22</v>
      </c>
      <c r="M79" s="19" t="s">
        <v>22</v>
      </c>
      <c r="N79" s="20"/>
      <c r="O79" s="358" t="s">
        <v>22</v>
      </c>
      <c r="P79" s="331" t="s">
        <v>23</v>
      </c>
      <c r="Q79" s="16" t="s">
        <v>23</v>
      </c>
      <c r="R79" s="18" t="s">
        <v>23</v>
      </c>
      <c r="S79" s="18" t="s">
        <v>23</v>
      </c>
      <c r="T79" s="16" t="s">
        <v>23</v>
      </c>
      <c r="U79" s="16" t="s">
        <v>23</v>
      </c>
      <c r="V79" s="16" t="s">
        <v>23</v>
      </c>
      <c r="W79" s="19" t="s">
        <v>23</v>
      </c>
      <c r="X79" s="16" t="s">
        <v>23</v>
      </c>
      <c r="Y79" s="16" t="s">
        <v>23</v>
      </c>
      <c r="Z79" s="16" t="s">
        <v>23</v>
      </c>
      <c r="AA79" s="378" t="s">
        <v>23</v>
      </c>
    </row>
    <row r="80" spans="1:115" s="21" customFormat="1" ht="11" thickBot="1" x14ac:dyDescent="0.3">
      <c r="A80" s="333"/>
      <c r="B80" s="334"/>
      <c r="C80" s="335"/>
      <c r="D80" s="344">
        <f t="shared" ref="D80:AA80" si="1">SUM(D5:D75)</f>
        <v>12747.750000000004</v>
      </c>
      <c r="E80" s="345">
        <f t="shared" si="1"/>
        <v>1734.24</v>
      </c>
      <c r="F80" s="345">
        <f t="shared" si="1"/>
        <v>681.23</v>
      </c>
      <c r="G80" s="346">
        <f t="shared" si="1"/>
        <v>594</v>
      </c>
      <c r="H80" s="359">
        <f t="shared" si="1"/>
        <v>39.299999999999997</v>
      </c>
      <c r="I80" s="360">
        <f t="shared" si="1"/>
        <v>3619.1400000000003</v>
      </c>
      <c r="J80" s="360">
        <f t="shared" si="1"/>
        <v>0</v>
      </c>
      <c r="K80" s="360">
        <f t="shared" si="1"/>
        <v>1289.9000000000001</v>
      </c>
      <c r="L80" s="360">
        <f t="shared" si="1"/>
        <v>0</v>
      </c>
      <c r="M80" s="360">
        <f t="shared" si="1"/>
        <v>0</v>
      </c>
      <c r="N80" s="360">
        <f t="shared" si="1"/>
        <v>0</v>
      </c>
      <c r="O80" s="361">
        <f t="shared" si="1"/>
        <v>7886.6400000000031</v>
      </c>
      <c r="P80" s="359">
        <f t="shared" si="1"/>
        <v>0</v>
      </c>
      <c r="Q80" s="360">
        <f t="shared" si="1"/>
        <v>7.99</v>
      </c>
      <c r="R80" s="360">
        <f t="shared" si="1"/>
        <v>0</v>
      </c>
      <c r="S80" s="360">
        <f t="shared" si="1"/>
        <v>10</v>
      </c>
      <c r="T80" s="360">
        <f t="shared" si="1"/>
        <v>1424.38</v>
      </c>
      <c r="U80" s="360">
        <f t="shared" si="1"/>
        <v>0</v>
      </c>
      <c r="V80" s="360">
        <f t="shared" si="1"/>
        <v>262.79000000000002</v>
      </c>
      <c r="W80" s="360">
        <f t="shared" si="1"/>
        <v>10.44</v>
      </c>
      <c r="X80" s="360">
        <f t="shared" si="1"/>
        <v>0</v>
      </c>
      <c r="Y80" s="360">
        <f t="shared" si="1"/>
        <v>18.64</v>
      </c>
      <c r="Z80" s="360">
        <f t="shared" si="1"/>
        <v>0</v>
      </c>
      <c r="AA80" s="361">
        <f t="shared" si="1"/>
        <v>0</v>
      </c>
    </row>
    <row r="81" spans="1:27" s="6" customFormat="1" ht="11.5" thickTop="1" thickBot="1" x14ac:dyDescent="0.3">
      <c r="A81" s="347"/>
      <c r="B81" s="348" t="s">
        <v>26</v>
      </c>
      <c r="C81" s="349"/>
      <c r="D81" s="350">
        <f>SUM(D80-E80)</f>
        <v>11013.510000000004</v>
      </c>
      <c r="E81" s="351"/>
      <c r="F81" s="350">
        <f>SUM(F80-G80)</f>
        <v>87.230000000000018</v>
      </c>
      <c r="G81" s="352"/>
      <c r="H81" s="363"/>
      <c r="I81" s="379"/>
      <c r="J81" s="379" t="s">
        <v>20</v>
      </c>
      <c r="K81" s="365"/>
      <c r="L81" s="364"/>
      <c r="M81" s="364" t="s">
        <v>20</v>
      </c>
      <c r="N81" s="366"/>
      <c r="O81" s="367" t="s">
        <v>20</v>
      </c>
      <c r="P81" s="363"/>
      <c r="Q81" s="364"/>
      <c r="R81" s="364" t="s">
        <v>20</v>
      </c>
      <c r="S81" s="364" t="s">
        <v>20</v>
      </c>
      <c r="T81" s="364" t="s">
        <v>20</v>
      </c>
      <c r="U81" s="371"/>
      <c r="V81" s="364" t="s">
        <v>20</v>
      </c>
      <c r="W81" s="371"/>
      <c r="X81" s="364" t="s">
        <v>20</v>
      </c>
      <c r="Y81" s="364" t="s">
        <v>20</v>
      </c>
      <c r="Z81" s="364" t="s">
        <v>20</v>
      </c>
      <c r="AA81" s="352" t="s">
        <v>20</v>
      </c>
    </row>
    <row r="82" spans="1:27" s="6" customFormat="1" ht="11.5" thickTop="1" thickBot="1" x14ac:dyDescent="0.3">
      <c r="A82" s="2"/>
      <c r="B82" s="2"/>
      <c r="C82" s="55"/>
      <c r="D82" s="35"/>
      <c r="E82" s="34"/>
      <c r="F82" s="4"/>
      <c r="I82" s="546" t="s">
        <v>27</v>
      </c>
      <c r="J82" s="548"/>
      <c r="K82" s="362">
        <f>SUM(H80:O80)</f>
        <v>12834.980000000003</v>
      </c>
      <c r="O82" s="22"/>
      <c r="P82" s="4"/>
      <c r="Q82" s="6" t="s">
        <v>28</v>
      </c>
      <c r="R82" s="368" t="s">
        <v>20</v>
      </c>
      <c r="S82" s="369">
        <f>SUM(P80:AA80)</f>
        <v>1734.2400000000002</v>
      </c>
      <c r="T82" s="370"/>
    </row>
    <row r="83" spans="1:27" s="6" customFormat="1" ht="11" thickBot="1" x14ac:dyDescent="0.3">
      <c r="A83" s="2"/>
      <c r="B83" s="23" t="s">
        <v>29</v>
      </c>
      <c r="C83" s="23"/>
      <c r="D83" s="40" t="s">
        <v>20</v>
      </c>
      <c r="E83" s="193">
        <f>SUM(D80-E80+F80-G80)</f>
        <v>11100.740000000003</v>
      </c>
      <c r="F83" s="25" t="s">
        <v>49</v>
      </c>
      <c r="H83" s="26"/>
      <c r="I83" s="46"/>
      <c r="J83" s="46"/>
      <c r="K83" s="27"/>
      <c r="M83" s="7"/>
      <c r="N83" s="46"/>
      <c r="O83" s="24">
        <f>E80</f>
        <v>1734.24</v>
      </c>
      <c r="P83" s="540">
        <f>SUM(K82-S82)</f>
        <v>11100.740000000003</v>
      </c>
      <c r="Q83" s="540"/>
      <c r="R83" s="541" t="s">
        <v>30</v>
      </c>
      <c r="S83" s="541"/>
      <c r="T83" s="541"/>
    </row>
    <row r="84" spans="1:27" s="6" customFormat="1" ht="10.5" x14ac:dyDescent="0.25">
      <c r="A84" s="1"/>
      <c r="B84" s="2"/>
      <c r="C84" s="55"/>
      <c r="D84" s="28"/>
      <c r="E84" s="34"/>
      <c r="F84" s="4"/>
      <c r="G84" s="3"/>
      <c r="H84" s="3"/>
      <c r="I84" s="3"/>
      <c r="J84" s="3"/>
      <c r="K84" s="5"/>
      <c r="L84" s="3"/>
      <c r="M84" s="3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6" customFormat="1" x14ac:dyDescent="0.25">
      <c r="A85" s="1"/>
      <c r="B85" s="2"/>
      <c r="C85" s="2"/>
      <c r="D85" s="542" t="s">
        <v>52</v>
      </c>
      <c r="E85" s="543"/>
      <c r="F85" s="194">
        <v>62.93</v>
      </c>
      <c r="G85" s="197">
        <f>9505.17+(1508.34)</f>
        <v>11013.51</v>
      </c>
      <c r="H85" s="52" t="s">
        <v>54</v>
      </c>
      <c r="I85" s="57"/>
      <c r="J85" s="3"/>
      <c r="K85" s="5"/>
      <c r="L85" s="3"/>
      <c r="M85" s="3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6" customFormat="1" x14ac:dyDescent="0.25">
      <c r="A86" s="1"/>
      <c r="B86" s="2"/>
      <c r="C86" s="2"/>
      <c r="D86" s="544" t="s">
        <v>34</v>
      </c>
      <c r="E86" s="545"/>
      <c r="F86" s="195">
        <v>24.3</v>
      </c>
      <c r="G86" s="197">
        <f>D81</f>
        <v>11013.510000000004</v>
      </c>
      <c r="H86" s="52" t="s">
        <v>60</v>
      </c>
      <c r="I86" s="57"/>
      <c r="J86" s="3"/>
      <c r="K86" s="5"/>
      <c r="L86" s="3"/>
      <c r="M86" s="3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6" customFormat="1" x14ac:dyDescent="0.25">
      <c r="A87" s="1"/>
      <c r="B87" s="2"/>
      <c r="C87" s="2"/>
      <c r="D87" s="544" t="s">
        <v>85</v>
      </c>
      <c r="E87" s="545"/>
      <c r="F87" s="194">
        <v>0</v>
      </c>
      <c r="G87" s="198">
        <f>G85-G86</f>
        <v>0</v>
      </c>
      <c r="H87" s="53" t="s">
        <v>50</v>
      </c>
      <c r="I87" s="3"/>
      <c r="J87" s="3"/>
      <c r="K87" s="5"/>
      <c r="L87" s="3"/>
      <c r="M87" s="3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6" customFormat="1" x14ac:dyDescent="0.25">
      <c r="A88" s="1"/>
      <c r="B88" s="2"/>
      <c r="C88" s="2"/>
      <c r="D88" s="533" t="s">
        <v>50</v>
      </c>
      <c r="E88" s="534"/>
      <c r="F88" s="196">
        <f>F85+F86+F87-F81</f>
        <v>0</v>
      </c>
      <c r="G88" s="84"/>
      <c r="H88" s="85"/>
      <c r="I88" s="3"/>
      <c r="J88" s="3"/>
      <c r="K88" s="5"/>
      <c r="L88" s="3"/>
      <c r="M88" s="3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</sheetData>
  <sheetProtection selectLockedCells="1" selectUnlockedCells="1"/>
  <mergeCells count="10">
    <mergeCell ref="A1:B1"/>
    <mergeCell ref="D3:E3"/>
    <mergeCell ref="F3:G3"/>
    <mergeCell ref="I82:J82"/>
    <mergeCell ref="D88:E88"/>
    <mergeCell ref="P83:Q83"/>
    <mergeCell ref="R83:T83"/>
    <mergeCell ref="D85:E85"/>
    <mergeCell ref="D86:E86"/>
    <mergeCell ref="D87:E87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9 4 S U U W p f y c C l A A A A 9 Q A A A B I A H A B D b 2 5 m a W c v U G F j a 2 F n Z S 5 4 b W w g o h g A K K A U A A A A A A A A A A A A A A A A A A A A A A A A A A A A h Y + x C s I w G I R f p W R v U q N g K X / T Q X C y I A r i G t K 0 D b a p J K n p u z n 4 S L 6 C F a 2 6 O d 5 3 d 3 B 3 v 9 4 g G 9 o m u E h j V a d T N M M R C q Q W X a F 0 l a L e l W G M M g Z b L k 6 8 k s E Y 1 j Y Z r E p R 7 d w 5 I c R 7 j / 0 c d 6 Y i N I p m 5 J h v 9 q K W L Q + V t o 5 r I d G n V f x v I Q a H 1 x h G c b z E l C 5 w B G R i k C v 9 9 e k 4 9 + n + Q F j 1 j e u N Z K U J 1 z s g k w T y v s A e U E s D B B Q A A g A I A P e E l F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3 h J R R K I p H u A 4 A A A A R A A A A E w A c A E Z v c m 1 1 b G F z L 1 N l Y 3 R p b 2 4 x L m 0 g o h g A K K A U A A A A A A A A A A A A A A A A A A A A A A A A A A A A K 0 5 N L s n M z 1 M I h t C G 1 g B Q S w E C L Q A U A A I A C A D 3 h J R R a l / J w K U A A A D 1 A A A A E g A A A A A A A A A A A A A A A A A A A A A A Q 2 9 u Z m l n L 1 B h Y 2 t h Z 2 U u e G 1 s U E s B A i 0 A F A A C A A g A 9 4 S U U Q / K 6 a u k A A A A 6 Q A A A B M A A A A A A A A A A A A A A A A A 8 Q A A A F t D b 2 5 0 Z W 5 0 X 1 R 5 c G V z X S 5 4 b W x Q S w E C L Q A U A A I A C A D 3 h J R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X P z s o j I r U S o X O u y u Q q 0 U g A A A A A C A A A A A A A Q Z g A A A A E A A C A A A A C v M t g l Y Q n 9 u n t 0 v N M u Y L v g 9 k U 7 / e y C 4 L 1 V k A w P N H V U 4 g A A A A A O g A A A A A I A A C A A A A A 2 D N 9 3 G P O 4 z + y v l 1 z g f h Z e M t i 4 M L b c / / x l Y u O y m s 5 T t V A A A A C G z 7 w 8 I o X z t H W c a L m y M b K P P R y H F U Q H J L d w V l U y H / P d U n B 2 L M x 6 G J z z a T T 1 J e / k D H 3 B Z 3 c B 4 5 D W b 6 t S c q C Y e v c P k X I X 8 4 X l w V y d 4 6 p k x C K c B E A A A A A B p x o Y C W H A m X g s y T l y 9 r 9 h o N J h / + E j I 7 x 3 u q n R J u s F 9 j p 9 U F d z Q 6 8 f E e i I A I s G l X 1 w N 3 V 9 Z E F 7 l z Z s R J u g A 7 j e < / D a t a M a s h u p > 
</file>

<file path=customXml/itemProps1.xml><?xml version="1.0" encoding="utf-8"?>
<ds:datastoreItem xmlns:ds="http://schemas.openxmlformats.org/officeDocument/2006/customXml" ds:itemID="{20E6D376-1697-44E5-BD0B-3E20D1739C8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40</vt:i4>
      </vt:variant>
      <vt:variant>
        <vt:lpstr>Plages nommées</vt:lpstr>
      </vt:variant>
      <vt:variant>
        <vt:i4>2</vt:i4>
      </vt:variant>
    </vt:vector>
  </HeadingPairs>
  <TitlesOfParts>
    <vt:vector size="42" baseType="lpstr">
      <vt:lpstr>Litterature 01</vt:lpstr>
      <vt:lpstr>Contribution 01</vt:lpstr>
      <vt:lpstr> 01 2022</vt:lpstr>
      <vt:lpstr>Littérature 02</vt:lpstr>
      <vt:lpstr>Contribution 02</vt:lpstr>
      <vt:lpstr> 02 2022</vt:lpstr>
      <vt:lpstr>Littérature 03</vt:lpstr>
      <vt:lpstr>Contribution 03</vt:lpstr>
      <vt:lpstr> 03 2022</vt:lpstr>
      <vt:lpstr>Littérature 04</vt:lpstr>
      <vt:lpstr>Contribution 04</vt:lpstr>
      <vt:lpstr> 04 2022</vt:lpstr>
      <vt:lpstr>Littérature 05</vt:lpstr>
      <vt:lpstr>Contribution 05</vt:lpstr>
      <vt:lpstr> 05 2022</vt:lpstr>
      <vt:lpstr>Littérature 06</vt:lpstr>
      <vt:lpstr>Contribution 06</vt:lpstr>
      <vt:lpstr>06 2022</vt:lpstr>
      <vt:lpstr>Littérature 07</vt:lpstr>
      <vt:lpstr>Contribution 07</vt:lpstr>
      <vt:lpstr>07 2022</vt:lpstr>
      <vt:lpstr>Littérature 08</vt:lpstr>
      <vt:lpstr>Contribution 08</vt:lpstr>
      <vt:lpstr>08 2022</vt:lpstr>
      <vt:lpstr>Littérature 09</vt:lpstr>
      <vt:lpstr>Contribution 09</vt:lpstr>
      <vt:lpstr>09 2022</vt:lpstr>
      <vt:lpstr>Littérature 10</vt:lpstr>
      <vt:lpstr>Contribution 10</vt:lpstr>
      <vt:lpstr>10 2022</vt:lpstr>
      <vt:lpstr>Littérature 11</vt:lpstr>
      <vt:lpstr>Contribution 11</vt:lpstr>
      <vt:lpstr>11 2022</vt:lpstr>
      <vt:lpstr>Littérature 12</vt:lpstr>
      <vt:lpstr>Contribution 12</vt:lpstr>
      <vt:lpstr>12 2022</vt:lpstr>
      <vt:lpstr>Récapitulatif </vt:lpstr>
      <vt:lpstr>BUDGET 2022</vt:lpstr>
      <vt:lpstr>STAT</vt:lpstr>
      <vt:lpstr>STAT1</vt:lpstr>
      <vt:lpstr>'BUDGET 2022'!Zone_d_impression</vt:lpstr>
      <vt:lpstr>STAT!Zone_d_impression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Marie-Pierre</dc:creator>
  <cp:lastModifiedBy>Christian TIBERGHIEN</cp:lastModifiedBy>
  <cp:lastPrinted>2022-12-31T14:46:22Z</cp:lastPrinted>
  <dcterms:created xsi:type="dcterms:W3CDTF">2018-01-09T09:00:26Z</dcterms:created>
  <dcterms:modified xsi:type="dcterms:W3CDTF">2023-02-01T22:36:54Z</dcterms:modified>
</cp:coreProperties>
</file>